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中学校（三省堂）\3年生\単元別漢字（中3）\"/>
    </mc:Choice>
  </mc:AlternateContent>
  <xr:revisionPtr revIDLastSave="0" documentId="13_ncr:1_{12E6D851-3AF7-49A9-B866-624BA7E87F26}" xr6:coauthVersionLast="47" xr6:coauthVersionMax="47" xr10:uidLastSave="{00000000-0000-0000-0000-000000000000}"/>
  <bookViews>
    <workbookView xWindow="-120" yWindow="-120" windowWidth="29040" windowHeight="1584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K20" i="15"/>
  <c r="B29" i="15" l="1"/>
  <c r="B23" i="15"/>
  <c r="BU38" i="2" s="1"/>
  <c r="B24" i="15"/>
  <c r="B25" i="15"/>
  <c r="B30" i="15"/>
  <c r="B26" i="15"/>
  <c r="B27" i="15"/>
  <c r="B28" i="15"/>
  <c r="BU16" i="2" l="1"/>
  <c r="BU27" i="2"/>
  <c r="CD38" i="2"/>
  <c r="BU5" i="2"/>
  <c r="CD16" i="2"/>
  <c r="CD27"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AJ42" i="15"/>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<sst xmlns="http://schemas.openxmlformats.org/spreadsheetml/2006/main" count="101" uniqueCount="100">
  <si>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</si>
  <si>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</si>
  <si>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</si>
  <si>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</si>
  <si>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</si>
  <si>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</si>
  <si>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</si>
  <si>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</si>
  <si>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</si>
  <si>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</si>
  <si>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</si>
  <si>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</si>
  <si>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</si>
  <si>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</si>
  <si>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</si>
  <si>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</si>
  <si>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</si>
  <si>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</si>
  <si>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</si>
  <si>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</si>
  <si>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</si>
  <si>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</si>
  <si>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</si>
  <si>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</si>
  <si>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</si>
  <si>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</si>
  <si>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</si>
  <si>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</si>
  <si>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なし</t>
  </si>
  <si>
    <t>き</t>
    <phoneticPr fontId="1"/>
  </si>
  <si>
    <t>へん</t>
    <phoneticPr fontId="1"/>
  </si>
  <si>
    <t>たい</t>
    <phoneticPr fontId="1"/>
  </si>
  <si>
    <t>3-俳・海</t>
    <rPh sb="2" eb="3">
      <t>ハイ</t>
    </rPh>
    <rPh sb="4" eb="5">
      <t>ウミ</t>
    </rPh>
    <phoneticPr fontId="1"/>
  </si>
  <si>
    <t>耐</t>
    <rPh sb="0" eb="1">
      <t>タ</t>
    </rPh>
    <phoneticPr fontId="1"/>
  </si>
  <si>
    <t>訪</t>
    <rPh sb="0" eb="1">
      <t>オトズ</t>
    </rPh>
    <phoneticPr fontId="1"/>
  </si>
  <si>
    <t>解</t>
    <rPh sb="0" eb="1">
      <t>カイ</t>
    </rPh>
    <phoneticPr fontId="1"/>
  </si>
  <si>
    <t>爽快</t>
    <rPh sb="0" eb="2">
      <t>ソウカイ</t>
    </rPh>
    <phoneticPr fontId="1"/>
  </si>
  <si>
    <t>忍耐</t>
    <rPh sb="0" eb="2">
      <t>ニンタイ</t>
    </rPh>
    <phoneticPr fontId="1"/>
  </si>
  <si>
    <t>俳句の意味を理解する</t>
    <rPh sb="0" eb="2">
      <t>ハイク</t>
    </rPh>
    <rPh sb="3" eb="5">
      <t>イミ</t>
    </rPh>
    <rPh sb="6" eb="8">
      <t>リカイ</t>
    </rPh>
    <phoneticPr fontId="1"/>
  </si>
  <si>
    <t>五感を刺激する体験</t>
    <rPh sb="0" eb="2">
      <t>ゴカン</t>
    </rPh>
    <rPh sb="3" eb="5">
      <t>シゲキ</t>
    </rPh>
    <rPh sb="7" eb="9">
      <t>タイケン</t>
    </rPh>
    <phoneticPr fontId="1"/>
  </si>
  <si>
    <t>脳裏に浮かぶ</t>
    <rPh sb="0" eb="2">
      <t>ノウリ</t>
    </rPh>
    <rPh sb="3" eb="4">
      <t>ウ</t>
    </rPh>
    <phoneticPr fontId="1"/>
  </si>
  <si>
    <t>感嘆する</t>
    <rPh sb="0" eb="2">
      <t>カンタン</t>
    </rPh>
    <phoneticPr fontId="1"/>
  </si>
  <si>
    <t>傾</t>
    <rPh sb="0" eb="1">
      <t>ナダレ</t>
    </rPh>
    <phoneticPr fontId="1"/>
  </si>
  <si>
    <t>季節の変化に心を傾ける</t>
    <rPh sb="0" eb="2">
      <t>キセツ</t>
    </rPh>
    <rPh sb="3" eb="5">
      <t>ヘンカ</t>
    </rPh>
    <rPh sb="6" eb="7">
      <t>ココロ</t>
    </rPh>
    <rPh sb="8" eb="9">
      <t>カタム</t>
    </rPh>
    <phoneticPr fontId="1"/>
  </si>
  <si>
    <t>暑さと乾きに耐える</t>
    <rPh sb="0" eb="1">
      <t>アツ</t>
    </rPh>
    <rPh sb="3" eb="4">
      <t>カワ</t>
    </rPh>
    <rPh sb="6" eb="7">
      <t>タ</t>
    </rPh>
    <phoneticPr fontId="1"/>
  </si>
  <si>
    <t>ガラスの破片が散乱する</t>
    <rPh sb="4" eb="6">
      <t>ハヘン</t>
    </rPh>
    <rPh sb="7" eb="9">
      <t>サンラン</t>
    </rPh>
    <phoneticPr fontId="1"/>
  </si>
  <si>
    <t>爆弾</t>
    <rPh sb="0" eb="2">
      <t>バクダン</t>
    </rPh>
    <phoneticPr fontId="1"/>
  </si>
  <si>
    <t>遺跡</t>
    <rPh sb="0" eb="2">
      <t>イセキ</t>
    </rPh>
    <phoneticPr fontId="1"/>
  </si>
  <si>
    <t>翌朝</t>
    <rPh sb="0" eb="2">
      <t>ヨクアサ</t>
    </rPh>
    <phoneticPr fontId="1"/>
  </si>
  <si>
    <t>反対派の動きを抑え込む</t>
    <rPh sb="0" eb="3">
      <t>ハンタイハ</t>
    </rPh>
    <rPh sb="4" eb="5">
      <t>ウゴ</t>
    </rPh>
    <rPh sb="7" eb="8">
      <t>オサ</t>
    </rPh>
    <rPh sb="9" eb="10">
      <t>コ</t>
    </rPh>
    <phoneticPr fontId="1"/>
  </si>
  <si>
    <t>理</t>
    <rPh sb="0" eb="1">
      <t>リ</t>
    </rPh>
    <phoneticPr fontId="1"/>
  </si>
  <si>
    <t>抑</t>
    <rPh sb="0" eb="1">
      <t>オサ</t>
    </rPh>
    <phoneticPr fontId="1"/>
  </si>
  <si>
    <t>験</t>
    <rPh sb="0" eb="1">
      <t>ケン</t>
    </rPh>
    <phoneticPr fontId="1"/>
  </si>
  <si>
    <t>海を越えて訪れた友人</t>
    <rPh sb="0" eb="1">
      <t>ウミ</t>
    </rPh>
    <rPh sb="2" eb="3">
      <t>コ</t>
    </rPh>
    <rPh sb="5" eb="6">
      <t>オトズ</t>
    </rPh>
    <rPh sb="8" eb="10">
      <t>ユウジン</t>
    </rPh>
    <phoneticPr fontId="1"/>
  </si>
  <si>
    <t>体</t>
    <rPh sb="0" eb="1">
      <t>タイ</t>
    </rPh>
    <phoneticPr fontId="1"/>
  </si>
  <si>
    <t>懐かしい故郷の味</t>
    <rPh sb="0" eb="1">
      <t>ナツ</t>
    </rPh>
    <rPh sb="4" eb="6">
      <t>コキョウ</t>
    </rPh>
    <rPh sb="7" eb="8">
      <t>アジ</t>
    </rPh>
    <phoneticPr fontId="1"/>
  </si>
  <si>
    <t>椅子</t>
    <rPh sb="0" eb="2">
      <t>イス</t>
    </rPh>
    <phoneticPr fontId="1"/>
  </si>
  <si>
    <t>散</t>
    <rPh sb="0" eb="1">
      <t>サン</t>
    </rPh>
    <phoneticPr fontId="1"/>
  </si>
  <si>
    <t>懐</t>
    <rPh sb="0" eb="1">
      <t>ナツ</t>
    </rPh>
    <phoneticPr fontId="1"/>
  </si>
  <si>
    <t>乱</t>
    <rPh sb="0" eb="1">
      <t>ラン</t>
    </rPh>
    <phoneticPr fontId="1"/>
  </si>
  <si>
    <t>越</t>
    <rPh sb="0" eb="1">
      <t>エツ</t>
    </rPh>
    <phoneticPr fontId="1"/>
  </si>
  <si>
    <t>はい</t>
    <phoneticPr fontId="1"/>
  </si>
  <si>
    <t>く</t>
    <phoneticPr fontId="1"/>
  </si>
  <si>
    <t>い</t>
    <phoneticPr fontId="1"/>
  </si>
  <si>
    <t>み</t>
    <phoneticPr fontId="1"/>
  </si>
  <si>
    <t>り</t>
    <phoneticPr fontId="1"/>
  </si>
  <si>
    <t>かい</t>
    <phoneticPr fontId="1"/>
  </si>
  <si>
    <t>こ</t>
    <phoneticPr fontId="1"/>
  </si>
  <si>
    <t>おさ</t>
    <phoneticPr fontId="1"/>
  </si>
  <si>
    <t>うご</t>
    <phoneticPr fontId="1"/>
  </si>
  <si>
    <t>は</t>
    <phoneticPr fontId="1"/>
  </si>
  <si>
    <t>はん</t>
    <phoneticPr fontId="1"/>
  </si>
  <si>
    <t>ご</t>
    <phoneticPr fontId="1"/>
  </si>
  <si>
    <t>かん</t>
    <phoneticPr fontId="1"/>
  </si>
  <si>
    <t>し</t>
    <phoneticPr fontId="1"/>
  </si>
  <si>
    <t>げき</t>
    <phoneticPr fontId="1"/>
  </si>
  <si>
    <t>たい</t>
    <phoneticPr fontId="1"/>
  </si>
  <si>
    <t>けん</t>
    <phoneticPr fontId="1"/>
  </si>
  <si>
    <t>あじ</t>
    <phoneticPr fontId="1"/>
  </si>
  <si>
    <t>きょう</t>
    <phoneticPr fontId="1"/>
  </si>
  <si>
    <t>こ</t>
    <phoneticPr fontId="1"/>
  </si>
  <si>
    <t>なつ</t>
    <phoneticPr fontId="1"/>
  </si>
  <si>
    <t>せつ</t>
    <phoneticPr fontId="1"/>
  </si>
  <si>
    <t>か</t>
    <phoneticPr fontId="1"/>
  </si>
  <si>
    <t>こころ</t>
    <phoneticPr fontId="1"/>
  </si>
  <si>
    <t>かたむ</t>
    <phoneticPr fontId="1"/>
  </si>
  <si>
    <t>た</t>
    <phoneticPr fontId="1"/>
  </si>
  <si>
    <t>かわ</t>
    <phoneticPr fontId="1"/>
  </si>
  <si>
    <t>あつ</t>
    <phoneticPr fontId="1"/>
  </si>
  <si>
    <t>うみ</t>
    <phoneticPr fontId="1"/>
  </si>
  <si>
    <t>こ</t>
    <phoneticPr fontId="1"/>
  </si>
  <si>
    <t>おとず</t>
    <phoneticPr fontId="1"/>
  </si>
  <si>
    <t>ゆう</t>
    <phoneticPr fontId="1"/>
  </si>
  <si>
    <t>じん</t>
    <phoneticPr fontId="1"/>
  </si>
  <si>
    <t>らん</t>
    <phoneticPr fontId="1"/>
  </si>
  <si>
    <t>さん</t>
    <phoneticPr fontId="1"/>
  </si>
  <si>
    <t>へん</t>
    <phoneticPr fontId="1"/>
  </si>
  <si>
    <t>は</t>
    <phoneticPr fontId="1"/>
  </si>
  <si>
    <t>故</t>
    <rPh sb="0" eb="1">
      <t>ユエ</t>
    </rPh>
    <phoneticPr fontId="1"/>
  </si>
  <si>
    <t>郷</t>
    <rPh sb="0" eb="1">
      <t>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</si>
</sst>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s>
  <cellStyleXfs count="2">
    <xf numFmtId="0" fontId="0" fillId="0" borderId="0">
      <alignment vertical="center"/>
    </xf>
    <xf numFmtId="0" fontId="2" fillId="0" borderId="0"/>
  </cellStyleXfs>
  <cellXfs count="119">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176" fontId="3" fillId="0" borderId="0" xfId="0" applyNumberFormat="1" applyFont="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0" fontId="0" fillId="0" borderId="0" xfId="0" applyAlignment="1">
      <alignment horizontal="left" vertical="center" textRotation="255" shrinkToFit="1"/>
    </xf>
    <xf numFmtId="0" fontId="0" fillId="0" borderId="45" xfId="0" applyBorder="1" applyAlignment="1">
      <alignment horizontal="left" vertical="center" textRotation="255" shrinkToFit="1"/>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176" fontId="3" fillId="0" borderId="44"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0" fontId="3" fillId="0" borderId="0" xfId="0" applyFont="1">
      <alignment vertical="center"/>
    </xf>
    <xf numFmtId="176" fontId="3" fillId="0" borderId="46" xfId="0" applyNumberFormat="1" applyFont="1" applyBorder="1" applyAlignment="1">
      <alignment horizontal="left" vertical="center" textRotation="255" shrinkToFit="1"/>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11" fillId="0" borderId="39"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36" xfId="0" applyFont="1" applyBorder="1" applyAlignment="1">
      <alignment horizontal="left" vertical="center" textRotation="255"/>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3" fillId="3" borderId="3" xfId="1" applyFont="1" applyFill="1" applyBorder="1" applyAlignment="1" applyProtection="1">
      <alignment horizontal="left" vertical="center" shrinkToFit="1"/>
      <protection locked="0"/>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0" xfId="0" applyFont="1" applyBorder="1">
      <alignment vertical="center"/>
    </xf>
    <xf numFmtId="0" fontId="0" fillId="0" borderId="16" xfId="0" applyBorder="1">
      <alignment vertical="center"/>
    </xf>
    <xf numFmtId="0" fontId="3" fillId="0" borderId="12" xfId="0" applyFont="1" applyBorder="1">
      <alignment vertical="center"/>
    </xf>
    <xf numFmtId="0" fontId="0" fillId="0" borderId="18" xfId="0" applyBorder="1">
      <alignment vertical="center"/>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7" fillId="0" borderId="46" xfId="0" applyFont="1" applyBorder="1" applyAlignment="1">
      <alignment horizontal="left" vertical="center" textRotation="255" shrinkToFit="1"/>
    </xf>
    <xf numFmtId="0" fontId="11" fillId="0" borderId="39" xfId="0" applyFont="1" applyBorder="1" applyAlignment="1">
      <alignment horizontal="left" vertical="center" textRotation="255" shrinkToFit="1"/>
    </xf>
    <xf numFmtId="0" fontId="11" fillId="0" borderId="44" xfId="0" applyFont="1" applyBorder="1" applyAlignment="1">
      <alignment horizontal="left" vertical="center" textRotation="255" shrinkToFit="1"/>
    </xf>
    <xf numFmtId="0" fontId="11" fillId="0" borderId="0" xfId="0" applyFont="1" applyAlignment="1">
      <alignment horizontal="left" vertical="center" textRotation="255" shrinkToFit="1"/>
    </xf>
    <xf numFmtId="0" fontId="7" fillId="0" borderId="39" xfId="0" applyFont="1" applyBorder="1" applyAlignment="1">
      <alignment horizontal="left" vertical="center" textRotation="255" shrinkToFit="1"/>
    </xf>
    <xf numFmtId="0" fontId="11" fillId="0" borderId="51" xfId="0" applyFont="1" applyBorder="1" applyAlignment="1">
      <alignment horizontal="left" vertical="center" textRotation="255" shrinkToFit="1"/>
    </xf>
    <xf numFmtId="0" fontId="11" fillId="0" borderId="36" xfId="0" applyFont="1" applyBorder="1" applyAlignment="1">
      <alignment horizontal="left" vertical="center" textRotation="255" shrinkToFit="1"/>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960"/>
                </a:ext>
              </a:extLst>
            </xdr:cNvPicPr>
          </xdr:nvPicPr>
          <xdr:blipFill>
            <a:blip xmlns:r="http://schemas.openxmlformats.org/officeDocument/2006/relationships" r:embed="rId1"/>
            <a:srcRect/>
            <a:stretch>
              <a:fillRect/>
            </a:stretch>
          </xdr:blipFill>
          <xdr:spPr bwMode="auto">
            <a:xfrm>
              <a:off x="0" y="1483179"/>
              <a:ext cx="721179" cy="805161"/>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8059</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961"/>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962"/>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963"/>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964"/>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965"/>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966"/>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967"/>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968"/>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969"/>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970"/>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971"/>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972"/>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973"/>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8059</xdr:colOff>
          <xdr:row>3</xdr:row>
          <xdr:rowOff>976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974"/>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BJ2" sqref="BJ2"/>
    </sheetView>
  </sheetViews>
  <sheetFormatPr defaultColWidth="9" defaultRowHeight="15" x14ac:dyDescent="0.15"/>
  <cols>
    <col min="1" max="5" width="1.75" style="1" customWidth="1"/>
    <col min="6" max="9" width="1.5" style="1" customWidth="1"/>
    <col min="10" max="14" width="1.75" style="1" customWidth="1"/>
    <col min="15" max="18" width="1.5" style="1" customWidth="1"/>
    <col min="19" max="23" width="1.75" style="1" customWidth="1"/>
    <col min="24" max="27" width="1.5" style="1" customWidth="1"/>
    <col min="28" max="32" width="1.75" style="1" customWidth="1"/>
    <col min="33" max="36" width="1.5" style="1" customWidth="1"/>
    <col min="37" max="41" width="1.75" style="1" customWidth="1"/>
    <col min="42" max="45" width="1.5" style="1" customWidth="1"/>
    <col min="46" max="50" width="1.75" style="1" customWidth="1"/>
    <col min="51" max="54" width="1.5" style="1" customWidth="1"/>
    <col min="55" max="59" width="1.75" style="1" customWidth="1"/>
    <col min="60" max="63" width="1.5" style="1" customWidth="1"/>
    <col min="64" max="68" width="1.75" style="1" customWidth="1"/>
    <col min="69" max="72" width="1.5" style="1" customWidth="1"/>
    <col min="73" max="77" width="1.75" style="1" customWidth="1"/>
    <col min="78" max="81" width="1.5" style="1" customWidth="1"/>
    <col min="82" max="86" width="1.75" style="1" customWidth="1"/>
    <col min="87" max="90" width="1.5" style="1" customWidth="1"/>
    <col min="91" max="191" width="1.75" style="1" customWidth="1"/>
    <col min="192" max="16384" width="9" style="1"/>
  </cols>
  <sheetData>
    <row r="1" spans="1:181" ht="46.5" x14ac:dyDescent="0.15">
      <c r="A1" s="53" t="s">
        <v>0</v>
      </c>
      <c r="B1" s="43"/>
      <c r="C1" s="43"/>
      <c r="D1" s="43"/>
      <c r="E1" s="43"/>
      <c r="F1" s="43"/>
      <c r="G1" s="43"/>
      <c r="H1" s="43"/>
      <c r="I1" s="43"/>
      <c r="J1" s="43"/>
      <c r="K1" s="44"/>
      <c r="L1" s="44"/>
      <c r="M1" s="44"/>
      <c r="N1" s="42" t="s">
        <v>1</v>
      </c>
      <c r="O1" s="43"/>
      <c r="P1" s="43"/>
      <c r="Q1" s="43"/>
      <c r="R1" s="43"/>
      <c r="S1" s="43"/>
      <c r="T1" s="43"/>
      <c r="U1" s="43"/>
      <c r="V1" s="43"/>
      <c r="W1" s="43"/>
      <c r="X1" s="44"/>
      <c r="Y1" s="44"/>
      <c r="Z1" s="44"/>
      <c r="AA1" s="42" t="s">
        <v>2</v>
      </c>
      <c r="AB1" s="43"/>
      <c r="AC1" s="43"/>
      <c r="AD1" s="43"/>
      <c r="AE1" s="43"/>
      <c r="AF1" s="43"/>
      <c r="AG1" s="43"/>
      <c r="AH1" s="43"/>
      <c r="AI1" s="43"/>
      <c r="AJ1" s="43"/>
      <c r="AK1" s="44"/>
      <c r="AL1" s="44"/>
      <c r="AM1" s="44"/>
      <c r="AN1" s="42" t="s">
        <v>3</v>
      </c>
      <c r="AO1" s="43"/>
      <c r="AP1" s="43"/>
      <c r="AQ1" s="43"/>
      <c r="AR1" s="43"/>
      <c r="AS1" s="43"/>
      <c r="AT1" s="43"/>
      <c r="AU1" s="43"/>
      <c r="AV1" s="43"/>
      <c r="AW1" s="43"/>
      <c r="AX1" s="44"/>
      <c r="AY1" s="44"/>
      <c r="AZ1" s="48"/>
      <c r="ED1" s="42" t="s">
        <v>4</v>
      </c>
      <c r="EE1" s="43"/>
      <c r="EF1" s="43"/>
      <c r="EG1" s="43"/>
      <c r="EH1" s="43"/>
      <c r="EI1" s="43"/>
      <c r="EJ1" s="43"/>
      <c r="EK1" s="43"/>
      <c r="EL1" s="43"/>
      <c r="EM1" s="43"/>
      <c r="EN1" s="44"/>
      <c r="EO1" s="44"/>
      <c r="EP1" s="44"/>
      <c r="EQ1" s="31" t="str">
        <f>VLOOKUP(A2,mask,2,FALSE)</f>
        <v>no</v>
      </c>
      <c r="ER1" s="32"/>
      <c r="ES1" s="32"/>
      <c r="ET1" s="32"/>
      <c r="EU1" s="32"/>
      <c r="EV1" s="32"/>
      <c r="EW1" s="32"/>
      <c r="EX1" s="32"/>
      <c r="EY1" s="32"/>
    </row>
    <row r="2" spans="1:181" ht="47.25" thickBot="1" x14ac:dyDescent="0.2">
      <c r="A2" s="54" t="s">
        <v>28</v>
      </c>
      <c r="B2" s="55"/>
      <c r="C2" s="55"/>
      <c r="D2" s="55"/>
      <c r="E2" s="55"/>
      <c r="F2" s="55"/>
      <c r="G2" s="55"/>
      <c r="H2" s="55"/>
      <c r="I2" s="55"/>
      <c r="J2" s="55"/>
      <c r="K2" s="55"/>
      <c r="L2" s="55"/>
      <c r="M2" s="56"/>
      <c r="N2" s="49" t="s">
        <v>5</v>
      </c>
      <c r="O2" s="50"/>
      <c r="P2" s="50"/>
      <c r="Q2" s="50"/>
      <c r="R2" s="50"/>
      <c r="S2" s="50"/>
      <c r="T2" s="50"/>
      <c r="U2" s="50"/>
      <c r="V2" s="50"/>
      <c r="W2" s="51"/>
      <c r="X2" s="51"/>
      <c r="Y2" s="51"/>
      <c r="Z2" s="51"/>
      <c r="AA2" s="49" t="s">
        <v>6</v>
      </c>
      <c r="AB2" s="50"/>
      <c r="AC2" s="50"/>
      <c r="AD2" s="50"/>
      <c r="AE2" s="50"/>
      <c r="AF2" s="50"/>
      <c r="AG2" s="50"/>
      <c r="AH2" s="50"/>
      <c r="AI2" s="50"/>
      <c r="AJ2" s="51"/>
      <c r="AK2" s="51"/>
      <c r="AL2" s="51"/>
      <c r="AM2" s="51"/>
      <c r="AN2" s="49" t="s">
        <v>7</v>
      </c>
      <c r="AO2" s="50"/>
      <c r="AP2" s="50"/>
      <c r="AQ2" s="50"/>
      <c r="AR2" s="50"/>
      <c r="AS2" s="50"/>
      <c r="AT2" s="50"/>
      <c r="AU2" s="50"/>
      <c r="AV2" s="50"/>
      <c r="AW2" s="51"/>
      <c r="AX2" s="51"/>
      <c r="AY2" s="51"/>
      <c r="AZ2" s="52"/>
      <c r="ED2" s="45" t="s">
        <v>8</v>
      </c>
      <c r="EE2" s="46"/>
      <c r="EF2" s="46"/>
      <c r="EG2" s="46"/>
      <c r="EH2" s="46"/>
      <c r="EI2" s="46"/>
      <c r="EJ2" s="46"/>
      <c r="EK2" s="46"/>
      <c r="EL2" s="46"/>
      <c r="EM2" s="46"/>
      <c r="EN2" s="46"/>
      <c r="EO2" s="46"/>
      <c r="EP2" s="47"/>
    </row>
    <row r="3" spans="1:181" ht="23.25" customHeight="1" x14ac:dyDescent="0.15"/>
    <row r="4" spans="1:181" ht="63" customHeight="1" thickBot="1" x14ac:dyDescent="0.2">
      <c r="A4" s="33" t="str">
        <f>問題文入力シート!B2</f>
        <v>耐</v>
      </c>
      <c r="B4" s="34"/>
      <c r="C4" s="34"/>
      <c r="D4" s="34"/>
      <c r="E4" s="34"/>
      <c r="F4" s="34"/>
      <c r="G4" s="33" t="str">
        <f>問題文入力シート!C2</f>
        <v>訪</v>
      </c>
      <c r="H4" s="34"/>
      <c r="I4" s="34"/>
      <c r="J4" s="34"/>
      <c r="K4" s="34"/>
      <c r="L4" s="34"/>
      <c r="M4" s="33" t="str">
        <f>問題文入力シート!D2</f>
        <v>故</v>
      </c>
      <c r="N4" s="34"/>
      <c r="O4" s="34"/>
      <c r="P4" s="34"/>
      <c r="Q4" s="34"/>
      <c r="R4" s="34"/>
      <c r="S4" s="33" t="str">
        <f>問題文入力シート!E2</f>
        <v>解</v>
      </c>
      <c r="T4" s="34"/>
      <c r="U4" s="34"/>
      <c r="V4" s="34"/>
      <c r="W4" s="34"/>
      <c r="X4" s="34"/>
      <c r="Y4" s="33" t="str">
        <f>問題文入力シート!F2</f>
        <v>郷</v>
      </c>
      <c r="Z4" s="34"/>
      <c r="AA4" s="34"/>
      <c r="AB4" s="34"/>
      <c r="AC4" s="34"/>
      <c r="AD4" s="34"/>
      <c r="AE4" s="33" t="str">
        <f>問題文入力シート!G2</f>
        <v>傾</v>
      </c>
      <c r="AF4" s="34"/>
      <c r="AG4" s="34"/>
      <c r="AH4" s="34"/>
      <c r="AI4" s="34"/>
      <c r="AJ4" s="34"/>
      <c r="AK4" s="33" t="str">
        <f>問題文入力シート!H2</f>
        <v>抑</v>
      </c>
      <c r="AL4" s="34"/>
      <c r="AM4" s="34"/>
      <c r="AN4" s="34"/>
      <c r="AO4" s="34"/>
      <c r="AP4" s="34"/>
      <c r="AQ4" s="33" t="str">
        <f>問題文入力シート!I2</f>
        <v>乱</v>
      </c>
      <c r="AR4" s="34"/>
      <c r="AS4" s="34"/>
      <c r="AT4" s="34"/>
      <c r="AU4" s="34"/>
      <c r="AV4" s="34"/>
      <c r="AW4" s="33" t="str">
        <f>問題文入力シート!J2</f>
        <v>理</v>
      </c>
      <c r="AX4" s="34"/>
      <c r="AY4" s="34"/>
      <c r="AZ4" s="34"/>
      <c r="BA4" s="34"/>
      <c r="BB4" s="34"/>
      <c r="BC4" s="33" t="str">
        <f>問題文入力シート!K2</f>
        <v>験</v>
      </c>
      <c r="BD4" s="34"/>
      <c r="BE4" s="34"/>
      <c r="BF4" s="34"/>
      <c r="BG4" s="34"/>
      <c r="BH4" s="34"/>
      <c r="BI4" s="33" t="str">
        <f>問題文入力シート!L2</f>
        <v>越</v>
      </c>
      <c r="BJ4" s="34"/>
      <c r="BK4" s="34"/>
      <c r="BL4" s="34"/>
      <c r="BM4" s="34"/>
      <c r="BN4" s="34"/>
      <c r="BO4" s="33" t="str">
        <f>問題文入力シート!M2</f>
        <v>傾</v>
      </c>
      <c r="BP4" s="34"/>
      <c r="BQ4" s="34"/>
      <c r="BR4" s="34"/>
      <c r="BS4" s="34"/>
      <c r="BT4" s="34"/>
      <c r="BU4" s="33" t="str">
        <f>問題文入力シート!N2</f>
        <v>懐</v>
      </c>
      <c r="BV4" s="34"/>
      <c r="BW4" s="34"/>
      <c r="BX4" s="34"/>
      <c r="BY4" s="34"/>
      <c r="BZ4" s="34"/>
      <c r="CA4" s="33" t="str">
        <f>問題文入力シート!O2</f>
        <v>体</v>
      </c>
      <c r="CB4" s="34"/>
      <c r="CC4" s="34"/>
      <c r="CD4" s="34"/>
      <c r="CE4" s="34"/>
      <c r="CF4" s="34"/>
      <c r="CG4" s="33" t="str">
        <f>問題文入力シート!P2</f>
        <v>散</v>
      </c>
      <c r="CH4" s="34"/>
      <c r="CI4" s="34"/>
      <c r="CJ4" s="34"/>
      <c r="CK4" s="34"/>
      <c r="CL4" s="35"/>
      <c r="CM4" s="74" t="s">
        <v>9</v>
      </c>
      <c r="CN4" s="75"/>
      <c r="CO4" s="75"/>
      <c r="CP4" s="75"/>
      <c r="CQ4" s="75"/>
      <c r="CR4" s="76"/>
      <c r="EE4" s="3"/>
      <c r="EY4" s="3"/>
      <c r="FS4" s="3"/>
    </row>
    <row r="5" spans="1:181" ht="12.95" customHeight="1" thickBot="1" x14ac:dyDescent="0.2">
      <c r="A5" s="25" t="str">
        <f ca="1">VLOOKUP(8,list,14,FALSE)</f>
        <v>懐</v>
      </c>
      <c r="B5" s="26"/>
      <c r="C5" s="26"/>
      <c r="D5" s="26"/>
      <c r="E5" s="27"/>
      <c r="F5" s="39" t="str">
        <f ca="1">IF($AA$2="入れる",VLOOKUP(8,list,3,FALSE),"")</f>
        <v>なつ</v>
      </c>
      <c r="G5" s="40"/>
      <c r="H5" s="40"/>
      <c r="I5" s="41"/>
      <c r="J5" s="25" t="str">
        <f ca="1">VLOOKUP(7,list,14,FALSE)</f>
        <v>五</v>
      </c>
      <c r="K5" s="26"/>
      <c r="L5" s="26"/>
      <c r="M5" s="26"/>
      <c r="N5" s="27"/>
      <c r="O5" s="39" t="str">
        <f ca="1">IF($AA$2="入れる",VLOOKUP(7,list,3,FALSE),"")</f>
        <v>ご</v>
      </c>
      <c r="P5" s="40"/>
      <c r="Q5" s="40"/>
      <c r="R5" s="41"/>
      <c r="S5" s="25" t="str">
        <f ca="1">VLOOKUP(6,list,14,FALSE)</f>
        <v>暑</v>
      </c>
      <c r="T5" s="26"/>
      <c r="U5" s="26"/>
      <c r="V5" s="26"/>
      <c r="W5" s="27"/>
      <c r="X5" s="39" t="str">
        <f ca="1">IF($AA$2="入れる",VLOOKUP(6,list,3,FALSE),"")</f>
        <v>あつ</v>
      </c>
      <c r="Y5" s="40"/>
      <c r="Z5" s="40"/>
      <c r="AA5" s="41"/>
      <c r="AB5" s="25" t="str">
        <f ca="1">VLOOKUP(5,list,14,FALSE)</f>
        <v>季</v>
      </c>
      <c r="AC5" s="26"/>
      <c r="AD5" s="26"/>
      <c r="AE5" s="26"/>
      <c r="AF5" s="27"/>
      <c r="AG5" s="39" t="str">
        <f ca="1">IF($AA$2="入れる",VLOOKUP(5,list,3,FALSE),"")</f>
        <v>き</v>
      </c>
      <c r="AH5" s="40"/>
      <c r="AI5" s="40"/>
      <c r="AJ5" s="41"/>
      <c r="AK5" s="25" t="str">
        <f ca="1">VLOOKUP(4,list,14,FALSE)</f>
        <v>俳</v>
      </c>
      <c r="AL5" s="26"/>
      <c r="AM5" s="26"/>
      <c r="AN5" s="26"/>
      <c r="AO5" s="27"/>
      <c r="AP5" s="39" t="str">
        <f ca="1">IF($AA$2="入れる",VLOOKUP(4,list,3,FALSE),"")</f>
        <v>はい</v>
      </c>
      <c r="AQ5" s="40"/>
      <c r="AR5" s="40"/>
      <c r="AS5" s="41"/>
      <c r="AT5" s="25" t="str">
        <f ca="1">VLOOKUP(3,list,14,FALSE)</f>
        <v>ガ</v>
      </c>
      <c r="AU5" s="26"/>
      <c r="AV5" s="26"/>
      <c r="AW5" s="26"/>
      <c r="AX5" s="27"/>
      <c r="AY5" s="39" t="str">
        <f ca="1">IF($AA$2="入れる",VLOOKUP(3,list,3,FALSE),"")</f>
        <v/>
      </c>
      <c r="AZ5" s="40"/>
      <c r="BA5" s="40"/>
      <c r="BB5" s="41"/>
      <c r="BC5" s="25" t="str">
        <f ca="1">VLOOKUP(2,list,14,FALSE)</f>
        <v>反</v>
      </c>
      <c r="BD5" s="26"/>
      <c r="BE5" s="26"/>
      <c r="BF5" s="26"/>
      <c r="BG5" s="27"/>
      <c r="BH5" s="39" t="str">
        <f ca="1">IF($AA$2="入れる",VLOOKUP(2,list,3,FALSE),"")</f>
        <v>はん</v>
      </c>
      <c r="BI5" s="40"/>
      <c r="BJ5" s="40"/>
      <c r="BK5" s="40"/>
      <c r="BL5" s="25" t="str">
        <f ca="1">VLOOKUP(1,list,14,FALSE)</f>
        <v>海</v>
      </c>
      <c r="BM5" s="26"/>
      <c r="BN5" s="26"/>
      <c r="BO5" s="26"/>
      <c r="BP5" s="27"/>
      <c r="BQ5" s="40" t="str">
        <f ca="1">IF($AA$2="入れる",VLOOKUP(1,list,3,FALSE),"")</f>
        <v>うみ</v>
      </c>
      <c r="BR5" s="40"/>
      <c r="BS5" s="40"/>
      <c r="BT5" s="41"/>
      <c r="BU5" s="112" t="str">
        <f ca="1">VLOOKUP(5,yomi,2,FALSE)</f>
        <v>爆弾</v>
      </c>
      <c r="BV5" s="113"/>
      <c r="BW5" s="113"/>
      <c r="BX5" s="116"/>
      <c r="BY5" s="113"/>
      <c r="BZ5" s="113"/>
      <c r="CA5" s="113"/>
      <c r="CB5" s="113"/>
      <c r="CC5" s="113"/>
      <c r="CD5" s="112" t="str">
        <f ca="1">VLOOKUP(1,yomi,2,FALSE)</f>
        <v>感嘆する</v>
      </c>
      <c r="CE5" s="113"/>
      <c r="CF5" s="113"/>
      <c r="CG5" s="88"/>
      <c r="CH5" s="86"/>
      <c r="CI5" s="86"/>
      <c r="CJ5" s="86"/>
      <c r="CK5" s="86"/>
      <c r="CL5" s="86"/>
      <c r="CM5" s="77"/>
      <c r="CN5" s="78"/>
      <c r="CO5" s="78"/>
      <c r="CP5" s="78"/>
      <c r="CQ5" s="78"/>
      <c r="CR5" s="79"/>
      <c r="FR5" s="2"/>
      <c r="FS5" s="2"/>
      <c r="FT5" s="2"/>
      <c r="FU5" s="2"/>
      <c r="FV5" s="2"/>
      <c r="FW5" s="2"/>
      <c r="FX5" s="2"/>
      <c r="FY5" s="2"/>
    </row>
    <row r="6" spans="1:181" ht="12.95" customHeight="1" thickBot="1" x14ac:dyDescent="0.2">
      <c r="A6" s="28"/>
      <c r="B6" s="29"/>
      <c r="C6" s="29"/>
      <c r="D6" s="29"/>
      <c r="E6" s="30"/>
      <c r="F6" s="37"/>
      <c r="G6" s="23"/>
      <c r="H6" s="23"/>
      <c r="I6" s="24"/>
      <c r="J6" s="28"/>
      <c r="K6" s="29"/>
      <c r="L6" s="29"/>
      <c r="M6" s="29"/>
      <c r="N6" s="30"/>
      <c r="O6" s="37"/>
      <c r="P6" s="23"/>
      <c r="Q6" s="23"/>
      <c r="R6" s="24"/>
      <c r="S6" s="28"/>
      <c r="T6" s="29"/>
      <c r="U6" s="29"/>
      <c r="V6" s="29"/>
      <c r="W6" s="30"/>
      <c r="X6" s="37"/>
      <c r="Y6" s="23"/>
      <c r="Z6" s="23"/>
      <c r="AA6" s="24"/>
      <c r="AB6" s="28"/>
      <c r="AC6" s="29"/>
      <c r="AD6" s="29"/>
      <c r="AE6" s="29"/>
      <c r="AF6" s="30"/>
      <c r="AG6" s="37"/>
      <c r="AH6" s="23"/>
      <c r="AI6" s="23"/>
      <c r="AJ6" s="24"/>
      <c r="AK6" s="28"/>
      <c r="AL6" s="29"/>
      <c r="AM6" s="29"/>
      <c r="AN6" s="29"/>
      <c r="AO6" s="30"/>
      <c r="AP6" s="37"/>
      <c r="AQ6" s="23"/>
      <c r="AR6" s="23"/>
      <c r="AS6" s="24"/>
      <c r="AT6" s="28"/>
      <c r="AU6" s="29"/>
      <c r="AV6" s="29"/>
      <c r="AW6" s="29"/>
      <c r="AX6" s="30"/>
      <c r="AY6" s="37"/>
      <c r="AZ6" s="23"/>
      <c r="BA6" s="23"/>
      <c r="BB6" s="24"/>
      <c r="BC6" s="28"/>
      <c r="BD6" s="29"/>
      <c r="BE6" s="29"/>
      <c r="BF6" s="29"/>
      <c r="BG6" s="30"/>
      <c r="BH6" s="37"/>
      <c r="BI6" s="23"/>
      <c r="BJ6" s="23"/>
      <c r="BK6" s="23"/>
      <c r="BL6" s="28"/>
      <c r="BM6" s="29"/>
      <c r="BN6" s="29"/>
      <c r="BO6" s="29"/>
      <c r="BP6" s="30"/>
      <c r="BQ6" s="23"/>
      <c r="BR6" s="23"/>
      <c r="BS6" s="23"/>
      <c r="BT6" s="24"/>
      <c r="BU6" s="114"/>
      <c r="BV6" s="115"/>
      <c r="BW6" s="115"/>
      <c r="BX6" s="115"/>
      <c r="BY6" s="115"/>
      <c r="BZ6" s="115"/>
      <c r="CA6" s="115"/>
      <c r="CB6" s="115"/>
      <c r="CC6" s="115"/>
      <c r="CD6" s="114"/>
      <c r="CE6" s="115"/>
      <c r="CF6" s="115"/>
      <c r="CG6" s="87"/>
      <c r="CH6" s="87"/>
      <c r="CI6" s="87"/>
      <c r="CJ6" s="87"/>
      <c r="CK6" s="87"/>
      <c r="CL6" s="87"/>
      <c r="CM6" s="77"/>
      <c r="CN6" s="78"/>
      <c r="CO6" s="78"/>
      <c r="CP6" s="78"/>
      <c r="CQ6" s="78"/>
      <c r="CR6" s="79"/>
      <c r="FR6" s="2"/>
      <c r="FS6" s="2"/>
      <c r="FT6" s="2"/>
      <c r="FU6" s="2"/>
      <c r="FV6" s="2"/>
      <c r="FW6" s="2"/>
      <c r="FX6" s="2"/>
      <c r="FY6" s="2"/>
    </row>
    <row r="7" spans="1:181" ht="12.95" customHeight="1" thickBot="1" x14ac:dyDescent="0.2">
      <c r="A7" s="28"/>
      <c r="B7" s="29"/>
      <c r="C7" s="29"/>
      <c r="D7" s="29"/>
      <c r="E7" s="30"/>
      <c r="F7" s="37"/>
      <c r="G7" s="23"/>
      <c r="H7" s="23"/>
      <c r="I7" s="24"/>
      <c r="J7" s="28"/>
      <c r="K7" s="29"/>
      <c r="L7" s="29"/>
      <c r="M7" s="29"/>
      <c r="N7" s="30"/>
      <c r="O7" s="37"/>
      <c r="P7" s="23"/>
      <c r="Q7" s="23"/>
      <c r="R7" s="24"/>
      <c r="S7" s="28"/>
      <c r="T7" s="29"/>
      <c r="U7" s="29"/>
      <c r="V7" s="29"/>
      <c r="W7" s="30"/>
      <c r="X7" s="37"/>
      <c r="Y7" s="23"/>
      <c r="Z7" s="23"/>
      <c r="AA7" s="24"/>
      <c r="AB7" s="28"/>
      <c r="AC7" s="29"/>
      <c r="AD7" s="29"/>
      <c r="AE7" s="29"/>
      <c r="AF7" s="30"/>
      <c r="AG7" s="37"/>
      <c r="AH7" s="23"/>
      <c r="AI7" s="23"/>
      <c r="AJ7" s="24"/>
      <c r="AK7" s="28"/>
      <c r="AL7" s="29"/>
      <c r="AM7" s="29"/>
      <c r="AN7" s="29"/>
      <c r="AO7" s="30"/>
      <c r="AP7" s="37"/>
      <c r="AQ7" s="23"/>
      <c r="AR7" s="23"/>
      <c r="AS7" s="24"/>
      <c r="AT7" s="28"/>
      <c r="AU7" s="29"/>
      <c r="AV7" s="29"/>
      <c r="AW7" s="29"/>
      <c r="AX7" s="30"/>
      <c r="AY7" s="37"/>
      <c r="AZ7" s="23"/>
      <c r="BA7" s="23"/>
      <c r="BB7" s="24"/>
      <c r="BC7" s="28"/>
      <c r="BD7" s="29"/>
      <c r="BE7" s="29"/>
      <c r="BF7" s="29"/>
      <c r="BG7" s="30"/>
      <c r="BH7" s="37"/>
      <c r="BI7" s="23"/>
      <c r="BJ7" s="23"/>
      <c r="BK7" s="23"/>
      <c r="BL7" s="28"/>
      <c r="BM7" s="29"/>
      <c r="BN7" s="29"/>
      <c r="BO7" s="29"/>
      <c r="BP7" s="30"/>
      <c r="BQ7" s="23"/>
      <c r="BR7" s="23"/>
      <c r="BS7" s="23"/>
      <c r="BT7" s="24"/>
      <c r="BU7" s="114"/>
      <c r="BV7" s="115"/>
      <c r="BW7" s="115"/>
      <c r="BX7" s="115"/>
      <c r="BY7" s="115"/>
      <c r="BZ7" s="115"/>
      <c r="CA7" s="115"/>
      <c r="CB7" s="115"/>
      <c r="CC7" s="115"/>
      <c r="CD7" s="114"/>
      <c r="CE7" s="115"/>
      <c r="CF7" s="115"/>
      <c r="CG7" s="87"/>
      <c r="CH7" s="87"/>
      <c r="CI7" s="87"/>
      <c r="CJ7" s="87"/>
      <c r="CK7" s="87"/>
      <c r="CL7" s="87"/>
      <c r="CM7" s="77"/>
      <c r="CN7" s="78"/>
      <c r="CO7" s="78"/>
      <c r="CP7" s="78"/>
      <c r="CQ7" s="78"/>
      <c r="CR7" s="79"/>
      <c r="FR7" s="2"/>
      <c r="FS7" s="2"/>
      <c r="FT7" s="2"/>
      <c r="FU7" s="2"/>
      <c r="FV7" s="2"/>
      <c r="FW7" s="2"/>
      <c r="FX7" s="2"/>
      <c r="FY7" s="2"/>
    </row>
    <row r="8" spans="1:181" ht="12.95" customHeight="1" thickBot="1" x14ac:dyDescent="0.2">
      <c r="A8" s="28"/>
      <c r="B8" s="29"/>
      <c r="C8" s="29"/>
      <c r="D8" s="29"/>
      <c r="E8" s="30"/>
      <c r="F8" s="37"/>
      <c r="G8" s="23"/>
      <c r="H8" s="23"/>
      <c r="I8" s="24"/>
      <c r="J8" s="28"/>
      <c r="K8" s="29"/>
      <c r="L8" s="29"/>
      <c r="M8" s="29"/>
      <c r="N8" s="30"/>
      <c r="O8" s="37"/>
      <c r="P8" s="23"/>
      <c r="Q8" s="23"/>
      <c r="R8" s="24"/>
      <c r="S8" s="28"/>
      <c r="T8" s="29"/>
      <c r="U8" s="29"/>
      <c r="V8" s="29"/>
      <c r="W8" s="30"/>
      <c r="X8" s="37"/>
      <c r="Y8" s="23"/>
      <c r="Z8" s="23"/>
      <c r="AA8" s="24"/>
      <c r="AB8" s="28"/>
      <c r="AC8" s="29"/>
      <c r="AD8" s="29"/>
      <c r="AE8" s="29"/>
      <c r="AF8" s="30"/>
      <c r="AG8" s="37"/>
      <c r="AH8" s="23"/>
      <c r="AI8" s="23"/>
      <c r="AJ8" s="24"/>
      <c r="AK8" s="28"/>
      <c r="AL8" s="29"/>
      <c r="AM8" s="29"/>
      <c r="AN8" s="29"/>
      <c r="AO8" s="30"/>
      <c r="AP8" s="37"/>
      <c r="AQ8" s="23"/>
      <c r="AR8" s="23"/>
      <c r="AS8" s="24"/>
      <c r="AT8" s="28"/>
      <c r="AU8" s="29"/>
      <c r="AV8" s="29"/>
      <c r="AW8" s="29"/>
      <c r="AX8" s="30"/>
      <c r="AY8" s="37"/>
      <c r="AZ8" s="23"/>
      <c r="BA8" s="23"/>
      <c r="BB8" s="24"/>
      <c r="BC8" s="28"/>
      <c r="BD8" s="29"/>
      <c r="BE8" s="29"/>
      <c r="BF8" s="29"/>
      <c r="BG8" s="30"/>
      <c r="BH8" s="37"/>
      <c r="BI8" s="23"/>
      <c r="BJ8" s="23"/>
      <c r="BK8" s="23"/>
      <c r="BL8" s="28"/>
      <c r="BM8" s="29"/>
      <c r="BN8" s="29"/>
      <c r="BO8" s="29"/>
      <c r="BP8" s="30"/>
      <c r="BQ8" s="23"/>
      <c r="BR8" s="23"/>
      <c r="BS8" s="23"/>
      <c r="BT8" s="24"/>
      <c r="BU8" s="114"/>
      <c r="BV8" s="115"/>
      <c r="BW8" s="115"/>
      <c r="BX8" s="115"/>
      <c r="BY8" s="115"/>
      <c r="BZ8" s="115"/>
      <c r="CA8" s="115"/>
      <c r="CB8" s="115"/>
      <c r="CC8" s="115"/>
      <c r="CD8" s="114"/>
      <c r="CE8" s="115"/>
      <c r="CF8" s="115"/>
      <c r="CG8" s="87"/>
      <c r="CH8" s="87"/>
      <c r="CI8" s="87"/>
      <c r="CJ8" s="87"/>
      <c r="CK8" s="87"/>
      <c r="CL8" s="87"/>
      <c r="CM8" s="77"/>
      <c r="CN8" s="78"/>
      <c r="CO8" s="78"/>
      <c r="CP8" s="78"/>
      <c r="CQ8" s="78"/>
      <c r="CR8" s="79"/>
      <c r="FR8" s="2"/>
      <c r="FS8" s="2"/>
      <c r="FT8" s="2"/>
      <c r="FU8" s="2"/>
      <c r="FV8" s="2"/>
      <c r="FW8" s="2"/>
      <c r="FX8" s="2"/>
      <c r="FY8" s="2"/>
    </row>
    <row r="9" spans="1:181" ht="12.95" customHeight="1" thickBot="1" x14ac:dyDescent="0.2">
      <c r="A9" s="25" t="str">
        <f ca="1">VLOOKUP(8,list,15,FALSE)</f>
        <v>か</v>
      </c>
      <c r="B9" s="26"/>
      <c r="C9" s="26"/>
      <c r="D9" s="26"/>
      <c r="E9" s="27"/>
      <c r="F9" s="36" t="str">
        <f ca="1">IF($AA$2="入れる",VLOOKUP(8,list,4,FALSE),"")</f>
        <v/>
      </c>
      <c r="G9" s="21"/>
      <c r="H9" s="21"/>
      <c r="I9" s="22"/>
      <c r="J9" s="25" t="str">
        <f ca="1">VLOOKUP(7,list,15,FALSE)</f>
        <v>感</v>
      </c>
      <c r="K9" s="26"/>
      <c r="L9" s="26"/>
      <c r="M9" s="26"/>
      <c r="N9" s="27"/>
      <c r="O9" s="36" t="str">
        <f ca="1">IF($AA$2="入れる",VLOOKUP(7,list,4,FALSE),"")</f>
        <v>かん</v>
      </c>
      <c r="P9" s="21"/>
      <c r="Q9" s="21"/>
      <c r="R9" s="22"/>
      <c r="S9" s="25" t="str">
        <f ca="1">VLOOKUP(6,list,15,FALSE)</f>
        <v>さ</v>
      </c>
      <c r="T9" s="26"/>
      <c r="U9" s="26"/>
      <c r="V9" s="26"/>
      <c r="W9" s="27"/>
      <c r="X9" s="36" t="str">
        <f ca="1">IF($AA$2="入れる",VLOOKUP(6,list,4,FALSE),"")</f>
        <v/>
      </c>
      <c r="Y9" s="21"/>
      <c r="Z9" s="21"/>
      <c r="AA9" s="22"/>
      <c r="AB9" s="25" t="str">
        <f ca="1">VLOOKUP(5,list,15,FALSE)</f>
        <v>節</v>
      </c>
      <c r="AC9" s="26"/>
      <c r="AD9" s="26"/>
      <c r="AE9" s="26"/>
      <c r="AF9" s="27"/>
      <c r="AG9" s="36" t="str">
        <f ca="1">IF($AA$2="入れる",VLOOKUP(5,list,4,FALSE),"")</f>
        <v>せつ</v>
      </c>
      <c r="AH9" s="21"/>
      <c r="AI9" s="21"/>
      <c r="AJ9" s="22"/>
      <c r="AK9" s="25" t="str">
        <f ca="1">VLOOKUP(4,list,15,FALSE)</f>
        <v>句</v>
      </c>
      <c r="AL9" s="26"/>
      <c r="AM9" s="26"/>
      <c r="AN9" s="26"/>
      <c r="AO9" s="27"/>
      <c r="AP9" s="36" t="str">
        <f ca="1">IF($AA$2="入れる",VLOOKUP(4,list,4,FALSE),"")</f>
        <v>く</v>
      </c>
      <c r="AQ9" s="21"/>
      <c r="AR9" s="21"/>
      <c r="AS9" s="22"/>
      <c r="AT9" s="25" t="str">
        <f ca="1">VLOOKUP(3,list,15,FALSE)</f>
        <v>ラ</v>
      </c>
      <c r="AU9" s="26"/>
      <c r="AV9" s="26"/>
      <c r="AW9" s="26"/>
      <c r="AX9" s="27"/>
      <c r="AY9" s="36" t="str">
        <f ca="1">IF($AA$2="入れる",VLOOKUP(3,list,4,FALSE),"")</f>
        <v/>
      </c>
      <c r="AZ9" s="21"/>
      <c r="BA9" s="21"/>
      <c r="BB9" s="22"/>
      <c r="BC9" s="25" t="str">
        <f ca="1">VLOOKUP(2,list,15,FALSE)</f>
        <v>対</v>
      </c>
      <c r="BD9" s="26"/>
      <c r="BE9" s="26"/>
      <c r="BF9" s="26"/>
      <c r="BG9" s="27"/>
      <c r="BH9" s="36" t="str">
        <f ca="1">IF($AA$2="入れる",VLOOKUP(2,list,4,FALSE),"")</f>
        <v>たい</v>
      </c>
      <c r="BI9" s="21"/>
      <c r="BJ9" s="21"/>
      <c r="BK9" s="21"/>
      <c r="BL9" s="25" t="str">
        <f ca="1">VLOOKUP(1,list,15,FALSE)</f>
        <v>を</v>
      </c>
      <c r="BM9" s="26"/>
      <c r="BN9" s="26"/>
      <c r="BO9" s="26"/>
      <c r="BP9" s="27"/>
      <c r="BQ9" s="21" t="str">
        <f ca="1">IF($AA$2="入れる",VLOOKUP(1,list,4,FALSE),"")</f>
        <v/>
      </c>
      <c r="BR9" s="21"/>
      <c r="BS9" s="21"/>
      <c r="BT9" s="22"/>
      <c r="BU9" s="114"/>
      <c r="BV9" s="115"/>
      <c r="BW9" s="115"/>
      <c r="BX9" s="115"/>
      <c r="BY9" s="115"/>
      <c r="BZ9" s="115"/>
      <c r="CA9" s="115"/>
      <c r="CB9" s="115"/>
      <c r="CC9" s="115"/>
      <c r="CD9" s="114"/>
      <c r="CE9" s="115"/>
      <c r="CF9" s="115"/>
      <c r="CG9" s="87"/>
      <c r="CH9" s="87"/>
      <c r="CI9" s="87"/>
      <c r="CJ9" s="87"/>
      <c r="CK9" s="87"/>
      <c r="CL9" s="87"/>
      <c r="CM9" s="77"/>
      <c r="CN9" s="78"/>
      <c r="CO9" s="78"/>
      <c r="CP9" s="78"/>
      <c r="CQ9" s="78"/>
      <c r="CR9" s="79"/>
      <c r="EW9" s="20"/>
      <c r="EX9" s="20"/>
      <c r="EY9" s="20"/>
      <c r="EZ9" s="20"/>
      <c r="FB9" s="20"/>
      <c r="FC9" s="20"/>
      <c r="FD9" s="20"/>
      <c r="FE9" s="20"/>
      <c r="FF9" s="20"/>
      <c r="FG9" s="20"/>
      <c r="FH9" s="20"/>
    </row>
    <row r="10" spans="1:181" ht="12.95" customHeight="1" thickBot="1" x14ac:dyDescent="0.2">
      <c r="A10" s="28"/>
      <c r="B10" s="29"/>
      <c r="C10" s="29"/>
      <c r="D10" s="29"/>
      <c r="E10" s="30"/>
      <c r="F10" s="37"/>
      <c r="G10" s="23"/>
      <c r="H10" s="23"/>
      <c r="I10" s="24"/>
      <c r="J10" s="28"/>
      <c r="K10" s="29"/>
      <c r="L10" s="29"/>
      <c r="M10" s="29"/>
      <c r="N10" s="30"/>
      <c r="O10" s="37"/>
      <c r="P10" s="23"/>
      <c r="Q10" s="23"/>
      <c r="R10" s="24"/>
      <c r="S10" s="28"/>
      <c r="T10" s="29"/>
      <c r="U10" s="29"/>
      <c r="V10" s="29"/>
      <c r="W10" s="30"/>
      <c r="X10" s="37"/>
      <c r="Y10" s="23"/>
      <c r="Z10" s="23"/>
      <c r="AA10" s="24"/>
      <c r="AB10" s="28"/>
      <c r="AC10" s="29"/>
      <c r="AD10" s="29"/>
      <c r="AE10" s="29"/>
      <c r="AF10" s="30"/>
      <c r="AG10" s="37"/>
      <c r="AH10" s="23"/>
      <c r="AI10" s="23"/>
      <c r="AJ10" s="24"/>
      <c r="AK10" s="28"/>
      <c r="AL10" s="29"/>
      <c r="AM10" s="29"/>
      <c r="AN10" s="29"/>
      <c r="AO10" s="30"/>
      <c r="AP10" s="37"/>
      <c r="AQ10" s="23"/>
      <c r="AR10" s="23"/>
      <c r="AS10" s="24"/>
      <c r="AT10" s="28"/>
      <c r="AU10" s="29"/>
      <c r="AV10" s="29"/>
      <c r="AW10" s="29"/>
      <c r="AX10" s="30"/>
      <c r="AY10" s="37"/>
      <c r="AZ10" s="23"/>
      <c r="BA10" s="23"/>
      <c r="BB10" s="24"/>
      <c r="BC10" s="28"/>
      <c r="BD10" s="29"/>
      <c r="BE10" s="29"/>
      <c r="BF10" s="29"/>
      <c r="BG10" s="30"/>
      <c r="BH10" s="37"/>
      <c r="BI10" s="23"/>
      <c r="BJ10" s="23"/>
      <c r="BK10" s="23"/>
      <c r="BL10" s="28"/>
      <c r="BM10" s="29"/>
      <c r="BN10" s="29"/>
      <c r="BO10" s="29"/>
      <c r="BP10" s="30"/>
      <c r="BQ10" s="23"/>
      <c r="BR10" s="23"/>
      <c r="BS10" s="23"/>
      <c r="BT10" s="24"/>
      <c r="BU10" s="114"/>
      <c r="BV10" s="115"/>
      <c r="BW10" s="115"/>
      <c r="BX10" s="115"/>
      <c r="BY10" s="115"/>
      <c r="BZ10" s="115"/>
      <c r="CA10" s="115"/>
      <c r="CB10" s="115"/>
      <c r="CC10" s="115"/>
      <c r="CD10" s="114"/>
      <c r="CE10" s="115"/>
      <c r="CF10" s="115"/>
      <c r="CG10" s="87"/>
      <c r="CH10" s="87"/>
      <c r="CI10" s="87"/>
      <c r="CJ10" s="87"/>
      <c r="CK10" s="87"/>
      <c r="CL10" s="87"/>
      <c r="CM10" s="77"/>
      <c r="CN10" s="78"/>
      <c r="CO10" s="78"/>
      <c r="CP10" s="78"/>
      <c r="CQ10" s="78"/>
      <c r="CR10" s="79"/>
      <c r="EW10" s="20"/>
      <c r="EX10" s="20"/>
      <c r="EY10" s="20"/>
      <c r="EZ10" s="20"/>
      <c r="FB10" s="20"/>
      <c r="FC10" s="20"/>
      <c r="FD10" s="20"/>
      <c r="FE10" s="20"/>
      <c r="FF10" s="20"/>
      <c r="FG10" s="20"/>
      <c r="FH10" s="20"/>
    </row>
    <row r="11" spans="1:181" ht="12.95" customHeight="1" thickBot="1" x14ac:dyDescent="0.2">
      <c r="A11" s="28"/>
      <c r="B11" s="29"/>
      <c r="C11" s="29"/>
      <c r="D11" s="29"/>
      <c r="E11" s="30"/>
      <c r="F11" s="37"/>
      <c r="G11" s="23"/>
      <c r="H11" s="23"/>
      <c r="I11" s="24"/>
      <c r="J11" s="28"/>
      <c r="K11" s="29"/>
      <c r="L11" s="29"/>
      <c r="M11" s="29"/>
      <c r="N11" s="30"/>
      <c r="O11" s="37"/>
      <c r="P11" s="23"/>
      <c r="Q11" s="23"/>
      <c r="R11" s="24"/>
      <c r="S11" s="28"/>
      <c r="T11" s="29"/>
      <c r="U11" s="29"/>
      <c r="V11" s="29"/>
      <c r="W11" s="30"/>
      <c r="X11" s="37"/>
      <c r="Y11" s="23"/>
      <c r="Z11" s="23"/>
      <c r="AA11" s="24"/>
      <c r="AB11" s="28"/>
      <c r="AC11" s="29"/>
      <c r="AD11" s="29"/>
      <c r="AE11" s="29"/>
      <c r="AF11" s="30"/>
      <c r="AG11" s="37"/>
      <c r="AH11" s="23"/>
      <c r="AI11" s="23"/>
      <c r="AJ11" s="24"/>
      <c r="AK11" s="28"/>
      <c r="AL11" s="29"/>
      <c r="AM11" s="29"/>
      <c r="AN11" s="29"/>
      <c r="AO11" s="30"/>
      <c r="AP11" s="37"/>
      <c r="AQ11" s="23"/>
      <c r="AR11" s="23"/>
      <c r="AS11" s="24"/>
      <c r="AT11" s="28"/>
      <c r="AU11" s="29"/>
      <c r="AV11" s="29"/>
      <c r="AW11" s="29"/>
      <c r="AX11" s="30"/>
      <c r="AY11" s="37"/>
      <c r="AZ11" s="23"/>
      <c r="BA11" s="23"/>
      <c r="BB11" s="24"/>
      <c r="BC11" s="28"/>
      <c r="BD11" s="29"/>
      <c r="BE11" s="29"/>
      <c r="BF11" s="29"/>
      <c r="BG11" s="30"/>
      <c r="BH11" s="37"/>
      <c r="BI11" s="23"/>
      <c r="BJ11" s="23"/>
      <c r="BK11" s="23"/>
      <c r="BL11" s="28"/>
      <c r="BM11" s="29"/>
      <c r="BN11" s="29"/>
      <c r="BO11" s="29"/>
      <c r="BP11" s="30"/>
      <c r="BQ11" s="23"/>
      <c r="BR11" s="23"/>
      <c r="BS11" s="23"/>
      <c r="BT11" s="24"/>
      <c r="BU11" s="114"/>
      <c r="BV11" s="115"/>
      <c r="BW11" s="115"/>
      <c r="BX11" s="115"/>
      <c r="BY11" s="115"/>
      <c r="BZ11" s="115"/>
      <c r="CA11" s="115"/>
      <c r="CB11" s="115"/>
      <c r="CC11" s="115"/>
      <c r="CD11" s="114"/>
      <c r="CE11" s="115"/>
      <c r="CF11" s="115"/>
      <c r="CG11" s="87"/>
      <c r="CH11" s="87"/>
      <c r="CI11" s="87"/>
      <c r="CJ11" s="87"/>
      <c r="CK11" s="87"/>
      <c r="CL11" s="87"/>
      <c r="CM11" s="77"/>
      <c r="CN11" s="78"/>
      <c r="CO11" s="78"/>
      <c r="CP11" s="78"/>
      <c r="CQ11" s="78"/>
      <c r="CR11" s="79"/>
      <c r="EW11" s="20"/>
      <c r="EX11" s="20"/>
      <c r="EY11" s="20"/>
      <c r="EZ11" s="20"/>
      <c r="FB11" s="20"/>
      <c r="FC11" s="20"/>
      <c r="FD11" s="20"/>
      <c r="FE11" s="20"/>
      <c r="FF11" s="20"/>
      <c r="FG11" s="20"/>
      <c r="FH11" s="20"/>
    </row>
    <row r="12" spans="1:181" ht="12.95" customHeight="1" thickBot="1" x14ac:dyDescent="0.2">
      <c r="A12" s="28"/>
      <c r="B12" s="29"/>
      <c r="C12" s="29"/>
      <c r="D12" s="29"/>
      <c r="E12" s="30"/>
      <c r="F12" s="37"/>
      <c r="G12" s="23"/>
      <c r="H12" s="23"/>
      <c r="I12" s="24"/>
      <c r="J12" s="28"/>
      <c r="K12" s="29"/>
      <c r="L12" s="29"/>
      <c r="M12" s="29"/>
      <c r="N12" s="30"/>
      <c r="O12" s="37"/>
      <c r="P12" s="23"/>
      <c r="Q12" s="23"/>
      <c r="R12" s="24"/>
      <c r="S12" s="28"/>
      <c r="T12" s="29"/>
      <c r="U12" s="29"/>
      <c r="V12" s="29"/>
      <c r="W12" s="30"/>
      <c r="X12" s="37"/>
      <c r="Y12" s="23"/>
      <c r="Z12" s="23"/>
      <c r="AA12" s="24"/>
      <c r="AB12" s="28"/>
      <c r="AC12" s="29"/>
      <c r="AD12" s="29"/>
      <c r="AE12" s="29"/>
      <c r="AF12" s="30"/>
      <c r="AG12" s="37"/>
      <c r="AH12" s="23"/>
      <c r="AI12" s="23"/>
      <c r="AJ12" s="24"/>
      <c r="AK12" s="28"/>
      <c r="AL12" s="29"/>
      <c r="AM12" s="29"/>
      <c r="AN12" s="29"/>
      <c r="AO12" s="30"/>
      <c r="AP12" s="37"/>
      <c r="AQ12" s="23"/>
      <c r="AR12" s="23"/>
      <c r="AS12" s="24"/>
      <c r="AT12" s="28"/>
      <c r="AU12" s="29"/>
      <c r="AV12" s="29"/>
      <c r="AW12" s="29"/>
      <c r="AX12" s="30"/>
      <c r="AY12" s="37"/>
      <c r="AZ12" s="23"/>
      <c r="BA12" s="23"/>
      <c r="BB12" s="24"/>
      <c r="BC12" s="28"/>
      <c r="BD12" s="29"/>
      <c r="BE12" s="29"/>
      <c r="BF12" s="29"/>
      <c r="BG12" s="30"/>
      <c r="BH12" s="37"/>
      <c r="BI12" s="23"/>
      <c r="BJ12" s="23"/>
      <c r="BK12" s="23"/>
      <c r="BL12" s="28"/>
      <c r="BM12" s="29"/>
      <c r="BN12" s="29"/>
      <c r="BO12" s="29"/>
      <c r="BP12" s="30"/>
      <c r="BQ12" s="23"/>
      <c r="BR12" s="23"/>
      <c r="BS12" s="23"/>
      <c r="BT12" s="24"/>
      <c r="BU12" s="114"/>
      <c r="BV12" s="115"/>
      <c r="BW12" s="115"/>
      <c r="BX12" s="115"/>
      <c r="BY12" s="115"/>
      <c r="BZ12" s="115"/>
      <c r="CA12" s="115"/>
      <c r="CB12" s="115"/>
      <c r="CC12" s="115"/>
      <c r="CD12" s="114"/>
      <c r="CE12" s="115"/>
      <c r="CF12" s="115"/>
      <c r="CG12" s="87"/>
      <c r="CH12" s="87"/>
      <c r="CI12" s="87"/>
      <c r="CJ12" s="87"/>
      <c r="CK12" s="87"/>
      <c r="CL12" s="87"/>
      <c r="CM12" s="77"/>
      <c r="CN12" s="78"/>
      <c r="CO12" s="78"/>
      <c r="CP12" s="78"/>
      <c r="CQ12" s="78"/>
      <c r="CR12" s="79"/>
      <c r="EW12" s="20"/>
      <c r="EX12" s="20"/>
      <c r="EY12" s="20"/>
      <c r="EZ12" s="20"/>
      <c r="FB12" s="20"/>
      <c r="FC12" s="20"/>
      <c r="FD12" s="20"/>
      <c r="FE12" s="20"/>
      <c r="FF12" s="20"/>
      <c r="FG12" s="20"/>
      <c r="FH12" s="20"/>
    </row>
    <row r="13" spans="1:181" ht="12.95" customHeight="1" thickBot="1" x14ac:dyDescent="0.2">
      <c r="A13" s="25" t="str">
        <f ca="1">VLOOKUP(8,list,16,FALSE)</f>
        <v>し</v>
      </c>
      <c r="B13" s="26"/>
      <c r="C13" s="26"/>
      <c r="D13" s="26"/>
      <c r="E13" s="27"/>
      <c r="F13" s="36" t="str">
        <f ca="1">IF($AA$2="入れる",VLOOKUP(8,list,5,FALSE),"")</f>
        <v/>
      </c>
      <c r="G13" s="21"/>
      <c r="H13" s="21"/>
      <c r="I13" s="22"/>
      <c r="J13" s="25" t="str">
        <f ca="1">VLOOKUP(7,list,16,FALSE)</f>
        <v>を</v>
      </c>
      <c r="K13" s="26"/>
      <c r="L13" s="26"/>
      <c r="M13" s="26"/>
      <c r="N13" s="27"/>
      <c r="O13" s="36" t="str">
        <f ca="1">IF($AA$2="入れる",VLOOKUP(7,list,5,FALSE),"")</f>
        <v/>
      </c>
      <c r="P13" s="21"/>
      <c r="Q13" s="21"/>
      <c r="R13" s="22"/>
      <c r="S13" s="25" t="str">
        <f ca="1">VLOOKUP(6,list,16,FALSE)</f>
        <v>と</v>
      </c>
      <c r="T13" s="26"/>
      <c r="U13" s="26"/>
      <c r="V13" s="26"/>
      <c r="W13" s="27"/>
      <c r="X13" s="36" t="str">
        <f ca="1">IF($AA$2="入れる",VLOOKUP(6,list,5,FALSE),"")</f>
        <v/>
      </c>
      <c r="Y13" s="21"/>
      <c r="Z13" s="21"/>
      <c r="AA13" s="22"/>
      <c r="AB13" s="25" t="str">
        <f ca="1">VLOOKUP(5,list,16,FALSE)</f>
        <v>の</v>
      </c>
      <c r="AC13" s="26"/>
      <c r="AD13" s="26"/>
      <c r="AE13" s="26"/>
      <c r="AF13" s="27"/>
      <c r="AG13" s="36" t="str">
        <f ca="1">IF($AA$2="入れる",VLOOKUP(5,list,5,FALSE),"")</f>
        <v/>
      </c>
      <c r="AH13" s="21"/>
      <c r="AI13" s="21"/>
      <c r="AJ13" s="22"/>
      <c r="AK13" s="25" t="str">
        <f ca="1">VLOOKUP(4,list,16,FALSE)</f>
        <v>の</v>
      </c>
      <c r="AL13" s="26"/>
      <c r="AM13" s="26"/>
      <c r="AN13" s="26"/>
      <c r="AO13" s="27"/>
      <c r="AP13" s="36" t="str">
        <f ca="1">IF($AA$2="入れる",VLOOKUP(4,list,5,FALSE),"")</f>
        <v/>
      </c>
      <c r="AQ13" s="21"/>
      <c r="AR13" s="21"/>
      <c r="AS13" s="22"/>
      <c r="AT13" s="25" t="str">
        <f ca="1">VLOOKUP(3,list,16,FALSE)</f>
        <v>ス</v>
      </c>
      <c r="AU13" s="26"/>
      <c r="AV13" s="26"/>
      <c r="AW13" s="26"/>
      <c r="AX13" s="27"/>
      <c r="AY13" s="36" t="str">
        <f ca="1">IF($AA$2="入れる",VLOOKUP(3,list,5,FALSE),"")</f>
        <v/>
      </c>
      <c r="AZ13" s="21"/>
      <c r="BA13" s="21"/>
      <c r="BB13" s="22"/>
      <c r="BC13" s="25" t="str">
        <f ca="1">VLOOKUP(2,list,16,FALSE)</f>
        <v>派</v>
      </c>
      <c r="BD13" s="26"/>
      <c r="BE13" s="26"/>
      <c r="BF13" s="26"/>
      <c r="BG13" s="27"/>
      <c r="BH13" s="36" t="str">
        <f ca="1">IF($AA$2="入れる",VLOOKUP(2,list,5,FALSE),"")</f>
        <v>は</v>
      </c>
      <c r="BI13" s="21"/>
      <c r="BJ13" s="21"/>
      <c r="BK13" s="21"/>
      <c r="BL13" s="25" t="str">
        <f ca="1">VLOOKUP(1,list,16,FALSE)</f>
        <v>越</v>
      </c>
      <c r="BM13" s="26"/>
      <c r="BN13" s="26"/>
      <c r="BO13" s="26"/>
      <c r="BP13" s="27"/>
      <c r="BQ13" s="21" t="str">
        <f ca="1">IF($AA$2="入れる",VLOOKUP(1,list,5,FALSE),"")</f>
        <v>こ</v>
      </c>
      <c r="BR13" s="21"/>
      <c r="BS13" s="21"/>
      <c r="BT13" s="22"/>
      <c r="BU13" s="114"/>
      <c r="BV13" s="115"/>
      <c r="BW13" s="115"/>
      <c r="BX13" s="115"/>
      <c r="BY13" s="115"/>
      <c r="BZ13" s="115"/>
      <c r="CA13" s="115"/>
      <c r="CB13" s="115"/>
      <c r="CC13" s="115"/>
      <c r="CD13" s="114"/>
      <c r="CE13" s="115"/>
      <c r="CF13" s="115"/>
      <c r="CG13" s="87"/>
      <c r="CH13" s="87"/>
      <c r="CI13" s="87"/>
      <c r="CJ13" s="87"/>
      <c r="CK13" s="87"/>
      <c r="CL13" s="87"/>
      <c r="CM13" s="77"/>
      <c r="CN13" s="78"/>
      <c r="CO13" s="78"/>
      <c r="CP13" s="78"/>
      <c r="CQ13" s="78"/>
      <c r="CR13" s="79"/>
      <c r="EV13" s="20"/>
      <c r="EW13" s="20"/>
      <c r="EX13" s="20"/>
      <c r="EY13" s="20"/>
      <c r="EZ13" s="20"/>
      <c r="FB13" s="20"/>
      <c r="FC13" s="20"/>
      <c r="FD13" s="20"/>
      <c r="FE13" s="20"/>
      <c r="FF13" s="20"/>
      <c r="FG13" s="20"/>
      <c r="FH13" s="20"/>
    </row>
    <row r="14" spans="1:181" ht="12.95" customHeight="1" thickBot="1" x14ac:dyDescent="0.2">
      <c r="A14" s="28"/>
      <c r="B14" s="29"/>
      <c r="C14" s="29"/>
      <c r="D14" s="29"/>
      <c r="E14" s="30"/>
      <c r="F14" s="37"/>
      <c r="G14" s="23"/>
      <c r="H14" s="23"/>
      <c r="I14" s="24"/>
      <c r="J14" s="28"/>
      <c r="K14" s="29"/>
      <c r="L14" s="29"/>
      <c r="M14" s="29"/>
      <c r="N14" s="30"/>
      <c r="O14" s="37"/>
      <c r="P14" s="23"/>
      <c r="Q14" s="23"/>
      <c r="R14" s="24"/>
      <c r="S14" s="28"/>
      <c r="T14" s="29"/>
      <c r="U14" s="29"/>
      <c r="V14" s="29"/>
      <c r="W14" s="30"/>
      <c r="X14" s="37"/>
      <c r="Y14" s="23"/>
      <c r="Z14" s="23"/>
      <c r="AA14" s="24"/>
      <c r="AB14" s="28"/>
      <c r="AC14" s="29"/>
      <c r="AD14" s="29"/>
      <c r="AE14" s="29"/>
      <c r="AF14" s="30"/>
      <c r="AG14" s="37"/>
      <c r="AH14" s="23"/>
      <c r="AI14" s="23"/>
      <c r="AJ14" s="24"/>
      <c r="AK14" s="28"/>
      <c r="AL14" s="29"/>
      <c r="AM14" s="29"/>
      <c r="AN14" s="29"/>
      <c r="AO14" s="30"/>
      <c r="AP14" s="37"/>
      <c r="AQ14" s="23"/>
      <c r="AR14" s="23"/>
      <c r="AS14" s="24"/>
      <c r="AT14" s="28"/>
      <c r="AU14" s="29"/>
      <c r="AV14" s="29"/>
      <c r="AW14" s="29"/>
      <c r="AX14" s="30"/>
      <c r="AY14" s="37"/>
      <c r="AZ14" s="23"/>
      <c r="BA14" s="23"/>
      <c r="BB14" s="24"/>
      <c r="BC14" s="28"/>
      <c r="BD14" s="29"/>
      <c r="BE14" s="29"/>
      <c r="BF14" s="29"/>
      <c r="BG14" s="30"/>
      <c r="BH14" s="37"/>
      <c r="BI14" s="23"/>
      <c r="BJ14" s="23"/>
      <c r="BK14" s="23"/>
      <c r="BL14" s="28"/>
      <c r="BM14" s="29"/>
      <c r="BN14" s="29"/>
      <c r="BO14" s="29"/>
      <c r="BP14" s="30"/>
      <c r="BQ14" s="23"/>
      <c r="BR14" s="23"/>
      <c r="BS14" s="23"/>
      <c r="BT14" s="24"/>
      <c r="BU14" s="114"/>
      <c r="BV14" s="115"/>
      <c r="BW14" s="115"/>
      <c r="BX14" s="115"/>
      <c r="BY14" s="115"/>
      <c r="BZ14" s="115"/>
      <c r="CA14" s="115"/>
      <c r="CB14" s="115"/>
      <c r="CC14" s="115"/>
      <c r="CD14" s="114"/>
      <c r="CE14" s="115"/>
      <c r="CF14" s="115"/>
      <c r="CG14" s="87"/>
      <c r="CH14" s="87"/>
      <c r="CI14" s="87"/>
      <c r="CJ14" s="87"/>
      <c r="CK14" s="87"/>
      <c r="CL14" s="87"/>
      <c r="CM14" s="80"/>
      <c r="CN14" s="81"/>
      <c r="CO14" s="81"/>
      <c r="CP14" s="81"/>
      <c r="CQ14" s="81"/>
      <c r="CR14" s="82"/>
      <c r="EV14" s="20"/>
      <c r="EW14" s="20"/>
      <c r="EX14" s="20"/>
      <c r="EY14" s="20"/>
      <c r="EZ14" s="20"/>
      <c r="FB14" s="20"/>
      <c r="FC14" s="20"/>
      <c r="FD14" s="20"/>
      <c r="FE14" s="20"/>
      <c r="FF14" s="20"/>
      <c r="FG14" s="20"/>
      <c r="FH14" s="20"/>
    </row>
    <row r="15" spans="1:181" ht="12.95" customHeight="1" thickBot="1" x14ac:dyDescent="0.2">
      <c r="A15" s="28"/>
      <c r="B15" s="29"/>
      <c r="C15" s="29"/>
      <c r="D15" s="29"/>
      <c r="E15" s="30"/>
      <c r="F15" s="37"/>
      <c r="G15" s="23"/>
      <c r="H15" s="23"/>
      <c r="I15" s="24"/>
      <c r="J15" s="28"/>
      <c r="K15" s="29"/>
      <c r="L15" s="29"/>
      <c r="M15" s="29"/>
      <c r="N15" s="30"/>
      <c r="O15" s="37"/>
      <c r="P15" s="23"/>
      <c r="Q15" s="23"/>
      <c r="R15" s="24"/>
      <c r="S15" s="28"/>
      <c r="T15" s="29"/>
      <c r="U15" s="29"/>
      <c r="V15" s="29"/>
      <c r="W15" s="30"/>
      <c r="X15" s="37"/>
      <c r="Y15" s="23"/>
      <c r="Z15" s="23"/>
      <c r="AA15" s="24"/>
      <c r="AB15" s="28"/>
      <c r="AC15" s="29"/>
      <c r="AD15" s="29"/>
      <c r="AE15" s="29"/>
      <c r="AF15" s="30"/>
      <c r="AG15" s="37"/>
      <c r="AH15" s="23"/>
      <c r="AI15" s="23"/>
      <c r="AJ15" s="24"/>
      <c r="AK15" s="28"/>
      <c r="AL15" s="29"/>
      <c r="AM15" s="29"/>
      <c r="AN15" s="29"/>
      <c r="AO15" s="30"/>
      <c r="AP15" s="37"/>
      <c r="AQ15" s="23"/>
      <c r="AR15" s="23"/>
      <c r="AS15" s="24"/>
      <c r="AT15" s="28"/>
      <c r="AU15" s="29"/>
      <c r="AV15" s="29"/>
      <c r="AW15" s="29"/>
      <c r="AX15" s="30"/>
      <c r="AY15" s="37"/>
      <c r="AZ15" s="23"/>
      <c r="BA15" s="23"/>
      <c r="BB15" s="24"/>
      <c r="BC15" s="28"/>
      <c r="BD15" s="29"/>
      <c r="BE15" s="29"/>
      <c r="BF15" s="29"/>
      <c r="BG15" s="30"/>
      <c r="BH15" s="37"/>
      <c r="BI15" s="23"/>
      <c r="BJ15" s="23"/>
      <c r="BK15" s="23"/>
      <c r="BL15" s="28"/>
      <c r="BM15" s="29"/>
      <c r="BN15" s="29"/>
      <c r="BO15" s="29"/>
      <c r="BP15" s="30"/>
      <c r="BQ15" s="23"/>
      <c r="BR15" s="23"/>
      <c r="BS15" s="23"/>
      <c r="BT15" s="24"/>
      <c r="BU15" s="114"/>
      <c r="BV15" s="115"/>
      <c r="BW15" s="115"/>
      <c r="BX15" s="115"/>
      <c r="BY15" s="115"/>
      <c r="BZ15" s="115"/>
      <c r="CA15" s="115"/>
      <c r="CB15" s="115"/>
      <c r="CC15" s="115"/>
      <c r="CD15" s="114"/>
      <c r="CE15" s="115"/>
      <c r="CF15" s="115"/>
      <c r="CG15" s="87"/>
      <c r="CH15" s="87"/>
      <c r="CI15" s="87"/>
      <c r="CJ15" s="87"/>
      <c r="CK15" s="87"/>
      <c r="CL15" s="87"/>
      <c r="CM15" s="80"/>
      <c r="CN15" s="81"/>
      <c r="CO15" s="81"/>
      <c r="CP15" s="81"/>
      <c r="CQ15" s="81"/>
      <c r="CR15" s="82"/>
      <c r="EV15" s="20"/>
      <c r="EW15" s="20"/>
      <c r="EX15" s="20"/>
      <c r="EY15" s="20"/>
      <c r="EZ15" s="20"/>
      <c r="FB15" s="20"/>
      <c r="FC15" s="20"/>
      <c r="FD15" s="20"/>
      <c r="FE15" s="20"/>
      <c r="FF15" s="20"/>
      <c r="FG15" s="20"/>
      <c r="FH15" s="20"/>
    </row>
    <row r="16" spans="1:181" ht="12.95" customHeight="1" thickBot="1" x14ac:dyDescent="0.2">
      <c r="A16" s="28"/>
      <c r="B16" s="29"/>
      <c r="C16" s="29"/>
      <c r="D16" s="29"/>
      <c r="E16" s="30"/>
      <c r="F16" s="37"/>
      <c r="G16" s="23"/>
      <c r="H16" s="23"/>
      <c r="I16" s="24"/>
      <c r="J16" s="28"/>
      <c r="K16" s="29"/>
      <c r="L16" s="29"/>
      <c r="M16" s="29"/>
      <c r="N16" s="30"/>
      <c r="O16" s="37"/>
      <c r="P16" s="23"/>
      <c r="Q16" s="23"/>
      <c r="R16" s="24"/>
      <c r="S16" s="28"/>
      <c r="T16" s="29"/>
      <c r="U16" s="29"/>
      <c r="V16" s="29"/>
      <c r="W16" s="30"/>
      <c r="X16" s="37"/>
      <c r="Y16" s="23"/>
      <c r="Z16" s="23"/>
      <c r="AA16" s="24"/>
      <c r="AB16" s="28"/>
      <c r="AC16" s="29"/>
      <c r="AD16" s="29"/>
      <c r="AE16" s="29"/>
      <c r="AF16" s="30"/>
      <c r="AG16" s="37"/>
      <c r="AH16" s="23"/>
      <c r="AI16" s="23"/>
      <c r="AJ16" s="24"/>
      <c r="AK16" s="28"/>
      <c r="AL16" s="29"/>
      <c r="AM16" s="29"/>
      <c r="AN16" s="29"/>
      <c r="AO16" s="30"/>
      <c r="AP16" s="37"/>
      <c r="AQ16" s="23"/>
      <c r="AR16" s="23"/>
      <c r="AS16" s="24"/>
      <c r="AT16" s="28"/>
      <c r="AU16" s="29"/>
      <c r="AV16" s="29"/>
      <c r="AW16" s="29"/>
      <c r="AX16" s="30"/>
      <c r="AY16" s="37"/>
      <c r="AZ16" s="23"/>
      <c r="BA16" s="23"/>
      <c r="BB16" s="24"/>
      <c r="BC16" s="28"/>
      <c r="BD16" s="29"/>
      <c r="BE16" s="29"/>
      <c r="BF16" s="29"/>
      <c r="BG16" s="30"/>
      <c r="BH16" s="37"/>
      <c r="BI16" s="23"/>
      <c r="BJ16" s="23"/>
      <c r="BK16" s="23"/>
      <c r="BL16" s="28"/>
      <c r="BM16" s="29"/>
      <c r="BN16" s="29"/>
      <c r="BO16" s="29"/>
      <c r="BP16" s="30"/>
      <c r="BQ16" s="23"/>
      <c r="BR16" s="23"/>
      <c r="BS16" s="23"/>
      <c r="BT16" s="24"/>
      <c r="BU16" s="112" t="str">
        <f ca="1">VLOOKUP(6,yomi,2,FALSE)</f>
        <v>翌朝</v>
      </c>
      <c r="BV16" s="113"/>
      <c r="BW16" s="113"/>
      <c r="BX16" s="116"/>
      <c r="BY16" s="113"/>
      <c r="BZ16" s="113"/>
      <c r="CA16" s="113"/>
      <c r="CB16" s="113"/>
      <c r="CC16" s="113"/>
      <c r="CD16" s="112" t="str">
        <f ca="1">VLOOKUP(2,yomi,2,FALSE)</f>
        <v>遺跡</v>
      </c>
      <c r="CE16" s="113"/>
      <c r="CF16" s="113"/>
      <c r="CG16" s="88"/>
      <c r="CH16" s="86"/>
      <c r="CI16" s="86"/>
      <c r="CJ16" s="86"/>
      <c r="CK16" s="86"/>
      <c r="CL16" s="86"/>
      <c r="CM16" s="83"/>
      <c r="CN16" s="84"/>
      <c r="CO16" s="84"/>
      <c r="CP16" s="84"/>
      <c r="CQ16" s="84"/>
      <c r="CR16" s="85"/>
      <c r="EV16" s="20"/>
      <c r="EW16" s="20"/>
      <c r="EX16" s="20"/>
      <c r="EY16" s="20"/>
      <c r="EZ16" s="20"/>
      <c r="FB16" s="20"/>
      <c r="FC16" s="20"/>
      <c r="FD16" s="20"/>
      <c r="FE16" s="20"/>
      <c r="FF16" s="20"/>
      <c r="FG16" s="20"/>
      <c r="FH16" s="20"/>
    </row>
    <row r="17" spans="1:96" ht="12.95" customHeight="1" thickBot="1" x14ac:dyDescent="0.2">
      <c r="A17" s="25" t="str">
        <f ca="1">VLOOKUP(8,list,17,FALSE)</f>
        <v>い</v>
      </c>
      <c r="B17" s="26"/>
      <c r="C17" s="26"/>
      <c r="D17" s="26"/>
      <c r="E17" s="27"/>
      <c r="F17" s="36" t="str">
        <f ca="1">IF($AA$2="入れる",VLOOKUP(8,list,6,FALSE),"")</f>
        <v/>
      </c>
      <c r="G17" s="21"/>
      <c r="H17" s="21"/>
      <c r="I17" s="22"/>
      <c r="J17" s="25" t="str">
        <f ca="1">VLOOKUP(7,list,17,FALSE)</f>
        <v>刺</v>
      </c>
      <c r="K17" s="26"/>
      <c r="L17" s="26"/>
      <c r="M17" s="26"/>
      <c r="N17" s="27"/>
      <c r="O17" s="36" t="str">
        <f ca="1">IF($AA$2="入れる",VLOOKUP(7,list,6,FALSE),"")</f>
        <v>し</v>
      </c>
      <c r="P17" s="21"/>
      <c r="Q17" s="21"/>
      <c r="R17" s="22"/>
      <c r="S17" s="25" t="str">
        <f ca="1">VLOOKUP(6,list,17,FALSE)</f>
        <v>乾</v>
      </c>
      <c r="T17" s="26"/>
      <c r="U17" s="26"/>
      <c r="V17" s="26"/>
      <c r="W17" s="27"/>
      <c r="X17" s="36" t="str">
        <f ca="1">IF($AA$2="入れる",VLOOKUP(6,list,6,FALSE),"")</f>
        <v>かわ</v>
      </c>
      <c r="Y17" s="21"/>
      <c r="Z17" s="21"/>
      <c r="AA17" s="22"/>
      <c r="AB17" s="25" t="str">
        <f ca="1">VLOOKUP(5,list,17,FALSE)</f>
        <v>変</v>
      </c>
      <c r="AC17" s="26"/>
      <c r="AD17" s="26"/>
      <c r="AE17" s="26"/>
      <c r="AF17" s="27"/>
      <c r="AG17" s="36" t="str">
        <f ca="1">IF($AA$2="入れる",VLOOKUP(5,list,6,FALSE),"")</f>
        <v>へん</v>
      </c>
      <c r="AH17" s="21"/>
      <c r="AI17" s="21"/>
      <c r="AJ17" s="22"/>
      <c r="AK17" s="25" t="str">
        <f ca="1">VLOOKUP(4,list,17,FALSE)</f>
        <v>意</v>
      </c>
      <c r="AL17" s="26"/>
      <c r="AM17" s="26"/>
      <c r="AN17" s="26"/>
      <c r="AO17" s="27"/>
      <c r="AP17" s="36" t="str">
        <f ca="1">IF($AA$2="入れる",VLOOKUP(4,list,6,FALSE),"")</f>
        <v>い</v>
      </c>
      <c r="AQ17" s="21"/>
      <c r="AR17" s="21"/>
      <c r="AS17" s="22"/>
      <c r="AT17" s="25" t="str">
        <f ca="1">VLOOKUP(3,list,17,FALSE)</f>
        <v>の</v>
      </c>
      <c r="AU17" s="26"/>
      <c r="AV17" s="26"/>
      <c r="AW17" s="26"/>
      <c r="AX17" s="27"/>
      <c r="AY17" s="36" t="str">
        <f ca="1">IF($AA$2="入れる",VLOOKUP(3,list,6,FALSE),"")</f>
        <v/>
      </c>
      <c r="AZ17" s="21"/>
      <c r="BA17" s="21"/>
      <c r="BB17" s="22"/>
      <c r="BC17" s="25" t="str">
        <f ca="1">VLOOKUP(2,list,17,FALSE)</f>
        <v>の</v>
      </c>
      <c r="BD17" s="26"/>
      <c r="BE17" s="26"/>
      <c r="BF17" s="26"/>
      <c r="BG17" s="27"/>
      <c r="BH17" s="36" t="str">
        <f ca="1">IF($AA$2="入れる",VLOOKUP(2,list,6,FALSE),"")</f>
        <v/>
      </c>
      <c r="BI17" s="21"/>
      <c r="BJ17" s="21"/>
      <c r="BK17" s="21"/>
      <c r="BL17" s="25" t="str">
        <f ca="1">VLOOKUP(1,list,17,FALSE)</f>
        <v>え</v>
      </c>
      <c r="BM17" s="26"/>
      <c r="BN17" s="26"/>
      <c r="BO17" s="26"/>
      <c r="BP17" s="27"/>
      <c r="BQ17" s="21" t="str">
        <f ca="1">IF($AA$2="入れる",VLOOKUP(1,list,6,FALSE),"")</f>
        <v/>
      </c>
      <c r="BR17" s="21"/>
      <c r="BS17" s="21"/>
      <c r="BT17" s="22"/>
      <c r="BU17" s="114"/>
      <c r="BV17" s="115"/>
      <c r="BW17" s="115"/>
      <c r="BX17" s="115"/>
      <c r="BY17" s="115"/>
      <c r="BZ17" s="115"/>
      <c r="CA17" s="115"/>
      <c r="CB17" s="115"/>
      <c r="CC17" s="115"/>
      <c r="CD17" s="114"/>
      <c r="CE17" s="115"/>
      <c r="CF17" s="115"/>
      <c r="CG17" s="87"/>
      <c r="CH17" s="87"/>
      <c r="CI17" s="87"/>
      <c r="CJ17" s="87"/>
      <c r="CK17" s="87"/>
      <c r="CL17" s="87"/>
      <c r="CM17" s="65" t="s">
        <v>10</v>
      </c>
      <c r="CN17" s="66"/>
      <c r="CO17" s="66"/>
      <c r="CP17" s="67"/>
      <c r="CQ17" s="67"/>
      <c r="CR17" s="68"/>
    </row>
    <row r="18" spans="1:96" ht="12.95" customHeight="1" thickBot="1" x14ac:dyDescent="0.2">
      <c r="A18" s="28"/>
      <c r="B18" s="29"/>
      <c r="C18" s="29"/>
      <c r="D18" s="29"/>
      <c r="E18" s="30"/>
      <c r="F18" s="37"/>
      <c r="G18" s="23"/>
      <c r="H18" s="23"/>
      <c r="I18" s="24"/>
      <c r="J18" s="28"/>
      <c r="K18" s="29"/>
      <c r="L18" s="29"/>
      <c r="M18" s="29"/>
      <c r="N18" s="30"/>
      <c r="O18" s="37"/>
      <c r="P18" s="23"/>
      <c r="Q18" s="23"/>
      <c r="R18" s="24"/>
      <c r="S18" s="28"/>
      <c r="T18" s="29"/>
      <c r="U18" s="29"/>
      <c r="V18" s="29"/>
      <c r="W18" s="30"/>
      <c r="X18" s="37"/>
      <c r="Y18" s="23"/>
      <c r="Z18" s="23"/>
      <c r="AA18" s="24"/>
      <c r="AB18" s="28"/>
      <c r="AC18" s="29"/>
      <c r="AD18" s="29"/>
      <c r="AE18" s="29"/>
      <c r="AF18" s="30"/>
      <c r="AG18" s="37"/>
      <c r="AH18" s="23"/>
      <c r="AI18" s="23"/>
      <c r="AJ18" s="24"/>
      <c r="AK18" s="28"/>
      <c r="AL18" s="29"/>
      <c r="AM18" s="29"/>
      <c r="AN18" s="29"/>
      <c r="AO18" s="30"/>
      <c r="AP18" s="37"/>
      <c r="AQ18" s="23"/>
      <c r="AR18" s="23"/>
      <c r="AS18" s="24"/>
      <c r="AT18" s="28"/>
      <c r="AU18" s="29"/>
      <c r="AV18" s="29"/>
      <c r="AW18" s="29"/>
      <c r="AX18" s="30"/>
      <c r="AY18" s="37"/>
      <c r="AZ18" s="23"/>
      <c r="BA18" s="23"/>
      <c r="BB18" s="24"/>
      <c r="BC18" s="28"/>
      <c r="BD18" s="29"/>
      <c r="BE18" s="29"/>
      <c r="BF18" s="29"/>
      <c r="BG18" s="30"/>
      <c r="BH18" s="37"/>
      <c r="BI18" s="23"/>
      <c r="BJ18" s="23"/>
      <c r="BK18" s="23"/>
      <c r="BL18" s="28"/>
      <c r="BM18" s="29"/>
      <c r="BN18" s="29"/>
      <c r="BO18" s="29"/>
      <c r="BP18" s="30"/>
      <c r="BQ18" s="23"/>
      <c r="BR18" s="23"/>
      <c r="BS18" s="23"/>
      <c r="BT18" s="24"/>
      <c r="BU18" s="114"/>
      <c r="BV18" s="115"/>
      <c r="BW18" s="115"/>
      <c r="BX18" s="115"/>
      <c r="BY18" s="115"/>
      <c r="BZ18" s="115"/>
      <c r="CA18" s="115"/>
      <c r="CB18" s="115"/>
      <c r="CC18" s="115"/>
      <c r="CD18" s="114"/>
      <c r="CE18" s="115"/>
      <c r="CF18" s="115"/>
      <c r="CG18" s="87"/>
      <c r="CH18" s="87"/>
      <c r="CI18" s="87"/>
      <c r="CJ18" s="87"/>
      <c r="CK18" s="87"/>
      <c r="CL18" s="87"/>
      <c r="CM18" s="69"/>
      <c r="CN18" s="70"/>
      <c r="CO18" s="70"/>
      <c r="CP18" s="71"/>
      <c r="CQ18" s="71"/>
      <c r="CR18" s="72"/>
    </row>
    <row r="19" spans="1:96" ht="12.95" customHeight="1" thickBot="1" x14ac:dyDescent="0.2">
      <c r="A19" s="28"/>
      <c r="B19" s="29"/>
      <c r="C19" s="29"/>
      <c r="D19" s="29"/>
      <c r="E19" s="30"/>
      <c r="F19" s="37"/>
      <c r="G19" s="23"/>
      <c r="H19" s="23"/>
      <c r="I19" s="24"/>
      <c r="J19" s="28"/>
      <c r="K19" s="29"/>
      <c r="L19" s="29"/>
      <c r="M19" s="29"/>
      <c r="N19" s="30"/>
      <c r="O19" s="37"/>
      <c r="P19" s="23"/>
      <c r="Q19" s="23"/>
      <c r="R19" s="24"/>
      <c r="S19" s="28"/>
      <c r="T19" s="29"/>
      <c r="U19" s="29"/>
      <c r="V19" s="29"/>
      <c r="W19" s="30"/>
      <c r="X19" s="37"/>
      <c r="Y19" s="23"/>
      <c r="Z19" s="23"/>
      <c r="AA19" s="24"/>
      <c r="AB19" s="28"/>
      <c r="AC19" s="29"/>
      <c r="AD19" s="29"/>
      <c r="AE19" s="29"/>
      <c r="AF19" s="30"/>
      <c r="AG19" s="37"/>
      <c r="AH19" s="23"/>
      <c r="AI19" s="23"/>
      <c r="AJ19" s="24"/>
      <c r="AK19" s="28"/>
      <c r="AL19" s="29"/>
      <c r="AM19" s="29"/>
      <c r="AN19" s="29"/>
      <c r="AO19" s="30"/>
      <c r="AP19" s="37"/>
      <c r="AQ19" s="23"/>
      <c r="AR19" s="23"/>
      <c r="AS19" s="24"/>
      <c r="AT19" s="28"/>
      <c r="AU19" s="29"/>
      <c r="AV19" s="29"/>
      <c r="AW19" s="29"/>
      <c r="AX19" s="30"/>
      <c r="AY19" s="37"/>
      <c r="AZ19" s="23"/>
      <c r="BA19" s="23"/>
      <c r="BB19" s="24"/>
      <c r="BC19" s="28"/>
      <c r="BD19" s="29"/>
      <c r="BE19" s="29"/>
      <c r="BF19" s="29"/>
      <c r="BG19" s="30"/>
      <c r="BH19" s="37"/>
      <c r="BI19" s="23"/>
      <c r="BJ19" s="23"/>
      <c r="BK19" s="23"/>
      <c r="BL19" s="28"/>
      <c r="BM19" s="29"/>
      <c r="BN19" s="29"/>
      <c r="BO19" s="29"/>
      <c r="BP19" s="30"/>
      <c r="BQ19" s="23"/>
      <c r="BR19" s="23"/>
      <c r="BS19" s="23"/>
      <c r="BT19" s="24"/>
      <c r="BU19" s="114"/>
      <c r="BV19" s="115"/>
      <c r="BW19" s="115"/>
      <c r="BX19" s="115"/>
      <c r="BY19" s="115"/>
      <c r="BZ19" s="115"/>
      <c r="CA19" s="115"/>
      <c r="CB19" s="115"/>
      <c r="CC19" s="115"/>
      <c r="CD19" s="114"/>
      <c r="CE19" s="115"/>
      <c r="CF19" s="115"/>
      <c r="CG19" s="87"/>
      <c r="CH19" s="87"/>
      <c r="CI19" s="87"/>
      <c r="CJ19" s="87"/>
      <c r="CK19" s="87"/>
      <c r="CL19" s="87"/>
      <c r="CM19" s="69"/>
      <c r="CN19" s="70"/>
      <c r="CO19" s="70"/>
      <c r="CP19" s="71"/>
      <c r="CQ19" s="71"/>
      <c r="CR19" s="72"/>
    </row>
    <row r="20" spans="1:96" ht="12.95" customHeight="1" thickBot="1" x14ac:dyDescent="0.2">
      <c r="A20" s="28"/>
      <c r="B20" s="29"/>
      <c r="C20" s="29"/>
      <c r="D20" s="29"/>
      <c r="E20" s="30"/>
      <c r="F20" s="37"/>
      <c r="G20" s="23"/>
      <c r="H20" s="23"/>
      <c r="I20" s="24"/>
      <c r="J20" s="28"/>
      <c r="K20" s="29"/>
      <c r="L20" s="29"/>
      <c r="M20" s="29"/>
      <c r="N20" s="30"/>
      <c r="O20" s="37"/>
      <c r="P20" s="23"/>
      <c r="Q20" s="23"/>
      <c r="R20" s="24"/>
      <c r="S20" s="28"/>
      <c r="T20" s="29"/>
      <c r="U20" s="29"/>
      <c r="V20" s="29"/>
      <c r="W20" s="30"/>
      <c r="X20" s="37"/>
      <c r="Y20" s="23"/>
      <c r="Z20" s="23"/>
      <c r="AA20" s="24"/>
      <c r="AB20" s="28"/>
      <c r="AC20" s="29"/>
      <c r="AD20" s="29"/>
      <c r="AE20" s="29"/>
      <c r="AF20" s="30"/>
      <c r="AG20" s="37"/>
      <c r="AH20" s="23"/>
      <c r="AI20" s="23"/>
      <c r="AJ20" s="24"/>
      <c r="AK20" s="28"/>
      <c r="AL20" s="29"/>
      <c r="AM20" s="29"/>
      <c r="AN20" s="29"/>
      <c r="AO20" s="30"/>
      <c r="AP20" s="37"/>
      <c r="AQ20" s="23"/>
      <c r="AR20" s="23"/>
      <c r="AS20" s="24"/>
      <c r="AT20" s="28"/>
      <c r="AU20" s="29"/>
      <c r="AV20" s="29"/>
      <c r="AW20" s="29"/>
      <c r="AX20" s="30"/>
      <c r="AY20" s="37"/>
      <c r="AZ20" s="23"/>
      <c r="BA20" s="23"/>
      <c r="BB20" s="24"/>
      <c r="BC20" s="28"/>
      <c r="BD20" s="29"/>
      <c r="BE20" s="29"/>
      <c r="BF20" s="29"/>
      <c r="BG20" s="30"/>
      <c r="BH20" s="37"/>
      <c r="BI20" s="23"/>
      <c r="BJ20" s="23"/>
      <c r="BK20" s="23"/>
      <c r="BL20" s="28"/>
      <c r="BM20" s="29"/>
      <c r="BN20" s="29"/>
      <c r="BO20" s="29"/>
      <c r="BP20" s="30"/>
      <c r="BQ20" s="23"/>
      <c r="BR20" s="23"/>
      <c r="BS20" s="23"/>
      <c r="BT20" s="24"/>
      <c r="BU20" s="114"/>
      <c r="BV20" s="115"/>
      <c r="BW20" s="115"/>
      <c r="BX20" s="115"/>
      <c r="BY20" s="115"/>
      <c r="BZ20" s="115"/>
      <c r="CA20" s="115"/>
      <c r="CB20" s="115"/>
      <c r="CC20" s="115"/>
      <c r="CD20" s="114"/>
      <c r="CE20" s="115"/>
      <c r="CF20" s="115"/>
      <c r="CG20" s="87"/>
      <c r="CH20" s="87"/>
      <c r="CI20" s="87"/>
      <c r="CJ20" s="87"/>
      <c r="CK20" s="87"/>
      <c r="CL20" s="87"/>
      <c r="CM20" s="69"/>
      <c r="CN20" s="70"/>
      <c r="CO20" s="70"/>
      <c r="CP20" s="71"/>
      <c r="CQ20" s="71"/>
      <c r="CR20" s="72"/>
    </row>
    <row r="21" spans="1:96" ht="12.95" customHeight="1" thickBot="1" x14ac:dyDescent="0.2">
      <c r="A21" s="25" t="str">
        <f ca="1">VLOOKUP(8,list,18,FALSE)</f>
        <v>故</v>
      </c>
      <c r="B21" s="26"/>
      <c r="C21" s="26"/>
      <c r="D21" s="26"/>
      <c r="E21" s="27"/>
      <c r="F21" s="36" t="str">
        <f ca="1">IF($AA$2="入れる",VLOOKUP(8,list,7,FALSE),"")</f>
        <v>こ</v>
      </c>
      <c r="G21" s="21"/>
      <c r="H21" s="21"/>
      <c r="I21" s="22"/>
      <c r="J21" s="25" t="str">
        <f ca="1">VLOOKUP(7,list,18,FALSE)</f>
        <v>激</v>
      </c>
      <c r="K21" s="26"/>
      <c r="L21" s="26"/>
      <c r="M21" s="26"/>
      <c r="N21" s="27"/>
      <c r="O21" s="36" t="str">
        <f ca="1">IF($AA$2="入れる",VLOOKUP(7,list,7,FALSE),"")</f>
        <v>げき</v>
      </c>
      <c r="P21" s="21"/>
      <c r="Q21" s="21"/>
      <c r="R21" s="22"/>
      <c r="S21" s="25" t="str">
        <f ca="1">VLOOKUP(6,list,18,FALSE)</f>
        <v>き</v>
      </c>
      <c r="T21" s="26"/>
      <c r="U21" s="26"/>
      <c r="V21" s="26"/>
      <c r="W21" s="27"/>
      <c r="X21" s="36" t="str">
        <f ca="1">IF($AA$2="入れる",VLOOKUP(6,list,7,FALSE),"")</f>
        <v/>
      </c>
      <c r="Y21" s="21"/>
      <c r="Z21" s="21"/>
      <c r="AA21" s="22"/>
      <c r="AB21" s="25" t="str">
        <f ca="1">VLOOKUP(5,list,18,FALSE)</f>
        <v>化</v>
      </c>
      <c r="AC21" s="26"/>
      <c r="AD21" s="26"/>
      <c r="AE21" s="26"/>
      <c r="AF21" s="27"/>
      <c r="AG21" s="36" t="str">
        <f ca="1">IF($AA$2="入れる",VLOOKUP(5,list,7,FALSE),"")</f>
        <v>か</v>
      </c>
      <c r="AH21" s="21"/>
      <c r="AI21" s="21"/>
      <c r="AJ21" s="22"/>
      <c r="AK21" s="25" t="str">
        <f ca="1">VLOOKUP(4,list,18,FALSE)</f>
        <v>味</v>
      </c>
      <c r="AL21" s="26"/>
      <c r="AM21" s="26"/>
      <c r="AN21" s="26"/>
      <c r="AO21" s="27"/>
      <c r="AP21" s="36" t="str">
        <f ca="1">IF($AA$2="入れる",VLOOKUP(4,list,7,FALSE),"")</f>
        <v>み</v>
      </c>
      <c r="AQ21" s="21"/>
      <c r="AR21" s="21"/>
      <c r="AS21" s="22"/>
      <c r="AT21" s="25" t="str">
        <f ca="1">VLOOKUP(3,list,18,FALSE)</f>
        <v>破</v>
      </c>
      <c r="AU21" s="26"/>
      <c r="AV21" s="26"/>
      <c r="AW21" s="26"/>
      <c r="AX21" s="27"/>
      <c r="AY21" s="36" t="str">
        <f ca="1">IF($AA$2="入れる",VLOOKUP(3,list,7,FALSE),"")</f>
        <v>は</v>
      </c>
      <c r="AZ21" s="21"/>
      <c r="BA21" s="21"/>
      <c r="BB21" s="22"/>
      <c r="BC21" s="25" t="str">
        <f ca="1">VLOOKUP(2,list,18,FALSE)</f>
        <v>動</v>
      </c>
      <c r="BD21" s="26"/>
      <c r="BE21" s="26"/>
      <c r="BF21" s="26"/>
      <c r="BG21" s="27"/>
      <c r="BH21" s="36" t="str">
        <f ca="1">IF($AA$2="入れる",VLOOKUP(2,list,7,FALSE),"")</f>
        <v>うご</v>
      </c>
      <c r="BI21" s="21"/>
      <c r="BJ21" s="21"/>
      <c r="BK21" s="21"/>
      <c r="BL21" s="25" t="str">
        <f ca="1">VLOOKUP(1,list,18,FALSE)</f>
        <v>て</v>
      </c>
      <c r="BM21" s="26"/>
      <c r="BN21" s="26"/>
      <c r="BO21" s="26"/>
      <c r="BP21" s="27"/>
      <c r="BQ21" s="21" t="str">
        <f ca="1">IF($AA$2="入れる",VLOOKUP(1,list,7,FALSE),"")</f>
        <v/>
      </c>
      <c r="BR21" s="21"/>
      <c r="BS21" s="21"/>
      <c r="BT21" s="22"/>
      <c r="BU21" s="114"/>
      <c r="BV21" s="115"/>
      <c r="BW21" s="115"/>
      <c r="BX21" s="115"/>
      <c r="BY21" s="115"/>
      <c r="BZ21" s="115"/>
      <c r="CA21" s="115"/>
      <c r="CB21" s="115"/>
      <c r="CC21" s="115"/>
      <c r="CD21" s="114"/>
      <c r="CE21" s="115"/>
      <c r="CF21" s="115"/>
      <c r="CG21" s="87"/>
      <c r="CH21" s="87"/>
      <c r="CI21" s="87"/>
      <c r="CJ21" s="87"/>
      <c r="CK21" s="87"/>
      <c r="CL21" s="87"/>
      <c r="CM21" s="73"/>
      <c r="CN21" s="71"/>
      <c r="CO21" s="71"/>
      <c r="CP21" s="71"/>
      <c r="CQ21" s="71"/>
      <c r="CR21" s="72"/>
    </row>
    <row r="22" spans="1:96" ht="12.95" customHeight="1" thickBot="1" x14ac:dyDescent="0.2">
      <c r="A22" s="28"/>
      <c r="B22" s="29"/>
      <c r="C22" s="29"/>
      <c r="D22" s="29"/>
      <c r="E22" s="30"/>
      <c r="F22" s="37"/>
      <c r="G22" s="23"/>
      <c r="H22" s="23"/>
      <c r="I22" s="24"/>
      <c r="J22" s="28"/>
      <c r="K22" s="29"/>
      <c r="L22" s="29"/>
      <c r="M22" s="29"/>
      <c r="N22" s="30"/>
      <c r="O22" s="37"/>
      <c r="P22" s="23"/>
      <c r="Q22" s="23"/>
      <c r="R22" s="24"/>
      <c r="S22" s="28"/>
      <c r="T22" s="29"/>
      <c r="U22" s="29"/>
      <c r="V22" s="29"/>
      <c r="W22" s="30"/>
      <c r="X22" s="37"/>
      <c r="Y22" s="23"/>
      <c r="Z22" s="23"/>
      <c r="AA22" s="24"/>
      <c r="AB22" s="28"/>
      <c r="AC22" s="29"/>
      <c r="AD22" s="29"/>
      <c r="AE22" s="29"/>
      <c r="AF22" s="30"/>
      <c r="AG22" s="37"/>
      <c r="AH22" s="23"/>
      <c r="AI22" s="23"/>
      <c r="AJ22" s="24"/>
      <c r="AK22" s="28"/>
      <c r="AL22" s="29"/>
      <c r="AM22" s="29"/>
      <c r="AN22" s="29"/>
      <c r="AO22" s="30"/>
      <c r="AP22" s="37"/>
      <c r="AQ22" s="23"/>
      <c r="AR22" s="23"/>
      <c r="AS22" s="24"/>
      <c r="AT22" s="28"/>
      <c r="AU22" s="29"/>
      <c r="AV22" s="29"/>
      <c r="AW22" s="29"/>
      <c r="AX22" s="30"/>
      <c r="AY22" s="37"/>
      <c r="AZ22" s="23"/>
      <c r="BA22" s="23"/>
      <c r="BB22" s="24"/>
      <c r="BC22" s="28"/>
      <c r="BD22" s="29"/>
      <c r="BE22" s="29"/>
      <c r="BF22" s="29"/>
      <c r="BG22" s="30"/>
      <c r="BH22" s="37"/>
      <c r="BI22" s="23"/>
      <c r="BJ22" s="23"/>
      <c r="BK22" s="23"/>
      <c r="BL22" s="28"/>
      <c r="BM22" s="29"/>
      <c r="BN22" s="29"/>
      <c r="BO22" s="29"/>
      <c r="BP22" s="30"/>
      <c r="BQ22" s="23"/>
      <c r="BR22" s="23"/>
      <c r="BS22" s="23"/>
      <c r="BT22" s="24"/>
      <c r="BU22" s="114"/>
      <c r="BV22" s="115"/>
      <c r="BW22" s="115"/>
      <c r="BX22" s="115"/>
      <c r="BY22" s="115"/>
      <c r="BZ22" s="115"/>
      <c r="CA22" s="115"/>
      <c r="CB22" s="115"/>
      <c r="CC22" s="115"/>
      <c r="CD22" s="114"/>
      <c r="CE22" s="115"/>
      <c r="CF22" s="115"/>
      <c r="CG22" s="87"/>
      <c r="CH22" s="87"/>
      <c r="CI22" s="87"/>
      <c r="CJ22" s="87"/>
      <c r="CK22" s="87"/>
      <c r="CL22" s="87"/>
      <c r="CM22" s="73"/>
      <c r="CN22" s="71"/>
      <c r="CO22" s="71"/>
      <c r="CP22" s="71"/>
      <c r="CQ22" s="71"/>
      <c r="CR22" s="72"/>
    </row>
    <row r="23" spans="1:96" ht="12.95" customHeight="1" thickBot="1" x14ac:dyDescent="0.2">
      <c r="A23" s="28"/>
      <c r="B23" s="29"/>
      <c r="C23" s="29"/>
      <c r="D23" s="29"/>
      <c r="E23" s="30"/>
      <c r="F23" s="37"/>
      <c r="G23" s="23"/>
      <c r="H23" s="23"/>
      <c r="I23" s="24"/>
      <c r="J23" s="28"/>
      <c r="K23" s="29"/>
      <c r="L23" s="29"/>
      <c r="M23" s="29"/>
      <c r="N23" s="30"/>
      <c r="O23" s="37"/>
      <c r="P23" s="23"/>
      <c r="Q23" s="23"/>
      <c r="R23" s="24"/>
      <c r="S23" s="28"/>
      <c r="T23" s="29"/>
      <c r="U23" s="29"/>
      <c r="V23" s="29"/>
      <c r="W23" s="30"/>
      <c r="X23" s="37"/>
      <c r="Y23" s="23"/>
      <c r="Z23" s="23"/>
      <c r="AA23" s="24"/>
      <c r="AB23" s="28"/>
      <c r="AC23" s="29"/>
      <c r="AD23" s="29"/>
      <c r="AE23" s="29"/>
      <c r="AF23" s="30"/>
      <c r="AG23" s="37"/>
      <c r="AH23" s="23"/>
      <c r="AI23" s="23"/>
      <c r="AJ23" s="24"/>
      <c r="AK23" s="28"/>
      <c r="AL23" s="29"/>
      <c r="AM23" s="29"/>
      <c r="AN23" s="29"/>
      <c r="AO23" s="30"/>
      <c r="AP23" s="37"/>
      <c r="AQ23" s="23"/>
      <c r="AR23" s="23"/>
      <c r="AS23" s="24"/>
      <c r="AT23" s="28"/>
      <c r="AU23" s="29"/>
      <c r="AV23" s="29"/>
      <c r="AW23" s="29"/>
      <c r="AX23" s="30"/>
      <c r="AY23" s="37"/>
      <c r="AZ23" s="23"/>
      <c r="BA23" s="23"/>
      <c r="BB23" s="24"/>
      <c r="BC23" s="28"/>
      <c r="BD23" s="29"/>
      <c r="BE23" s="29"/>
      <c r="BF23" s="29"/>
      <c r="BG23" s="30"/>
      <c r="BH23" s="37"/>
      <c r="BI23" s="23"/>
      <c r="BJ23" s="23"/>
      <c r="BK23" s="23"/>
      <c r="BL23" s="28"/>
      <c r="BM23" s="29"/>
      <c r="BN23" s="29"/>
      <c r="BO23" s="29"/>
      <c r="BP23" s="30"/>
      <c r="BQ23" s="23"/>
      <c r="BR23" s="23"/>
      <c r="BS23" s="23"/>
      <c r="BT23" s="24"/>
      <c r="BU23" s="114"/>
      <c r="BV23" s="115"/>
      <c r="BW23" s="115"/>
      <c r="BX23" s="115"/>
      <c r="BY23" s="115"/>
      <c r="BZ23" s="115"/>
      <c r="CA23" s="115"/>
      <c r="CB23" s="115"/>
      <c r="CC23" s="115"/>
      <c r="CD23" s="114"/>
      <c r="CE23" s="115"/>
      <c r="CF23" s="115"/>
      <c r="CG23" s="87"/>
      <c r="CH23" s="87"/>
      <c r="CI23" s="87"/>
      <c r="CJ23" s="87"/>
      <c r="CK23" s="87"/>
      <c r="CL23" s="87"/>
      <c r="CM23" s="73"/>
      <c r="CN23" s="71"/>
      <c r="CO23" s="71"/>
      <c r="CP23" s="71"/>
      <c r="CQ23" s="71"/>
      <c r="CR23" s="72"/>
    </row>
    <row r="24" spans="1:96" ht="12.95" customHeight="1" thickBot="1" x14ac:dyDescent="0.2">
      <c r="A24" s="28"/>
      <c r="B24" s="29"/>
      <c r="C24" s="29"/>
      <c r="D24" s="29"/>
      <c r="E24" s="30"/>
      <c r="F24" s="37"/>
      <c r="G24" s="23"/>
      <c r="H24" s="23"/>
      <c r="I24" s="24"/>
      <c r="J24" s="28"/>
      <c r="K24" s="29"/>
      <c r="L24" s="29"/>
      <c r="M24" s="29"/>
      <c r="N24" s="30"/>
      <c r="O24" s="37"/>
      <c r="P24" s="23"/>
      <c r="Q24" s="23"/>
      <c r="R24" s="24"/>
      <c r="S24" s="28"/>
      <c r="T24" s="29"/>
      <c r="U24" s="29"/>
      <c r="V24" s="29"/>
      <c r="W24" s="30"/>
      <c r="X24" s="37"/>
      <c r="Y24" s="23"/>
      <c r="Z24" s="23"/>
      <c r="AA24" s="24"/>
      <c r="AB24" s="28"/>
      <c r="AC24" s="29"/>
      <c r="AD24" s="29"/>
      <c r="AE24" s="29"/>
      <c r="AF24" s="30"/>
      <c r="AG24" s="37"/>
      <c r="AH24" s="23"/>
      <c r="AI24" s="23"/>
      <c r="AJ24" s="24"/>
      <c r="AK24" s="28"/>
      <c r="AL24" s="29"/>
      <c r="AM24" s="29"/>
      <c r="AN24" s="29"/>
      <c r="AO24" s="30"/>
      <c r="AP24" s="37"/>
      <c r="AQ24" s="23"/>
      <c r="AR24" s="23"/>
      <c r="AS24" s="24"/>
      <c r="AT24" s="28"/>
      <c r="AU24" s="29"/>
      <c r="AV24" s="29"/>
      <c r="AW24" s="29"/>
      <c r="AX24" s="30"/>
      <c r="AY24" s="37"/>
      <c r="AZ24" s="23"/>
      <c r="BA24" s="23"/>
      <c r="BB24" s="24"/>
      <c r="BC24" s="28"/>
      <c r="BD24" s="29"/>
      <c r="BE24" s="29"/>
      <c r="BF24" s="29"/>
      <c r="BG24" s="30"/>
      <c r="BH24" s="37"/>
      <c r="BI24" s="23"/>
      <c r="BJ24" s="23"/>
      <c r="BK24" s="23"/>
      <c r="BL24" s="28"/>
      <c r="BM24" s="29"/>
      <c r="BN24" s="29"/>
      <c r="BO24" s="29"/>
      <c r="BP24" s="30"/>
      <c r="BQ24" s="23"/>
      <c r="BR24" s="23"/>
      <c r="BS24" s="23"/>
      <c r="BT24" s="24"/>
      <c r="BU24" s="114"/>
      <c r="BV24" s="115"/>
      <c r="BW24" s="115"/>
      <c r="BX24" s="115"/>
      <c r="BY24" s="115"/>
      <c r="BZ24" s="115"/>
      <c r="CA24" s="115"/>
      <c r="CB24" s="115"/>
      <c r="CC24" s="115"/>
      <c r="CD24" s="114"/>
      <c r="CE24" s="115"/>
      <c r="CF24" s="115"/>
      <c r="CG24" s="87"/>
      <c r="CH24" s="87"/>
      <c r="CI24" s="87"/>
      <c r="CJ24" s="87"/>
      <c r="CK24" s="87"/>
      <c r="CL24" s="87"/>
      <c r="CM24" s="73"/>
      <c r="CN24" s="71"/>
      <c r="CO24" s="71"/>
      <c r="CP24" s="71"/>
      <c r="CQ24" s="71"/>
      <c r="CR24" s="72"/>
    </row>
    <row r="25" spans="1:96" ht="12.95" customHeight="1" thickBot="1" x14ac:dyDescent="0.2">
      <c r="A25" s="25" t="str">
        <f ca="1">VLOOKUP(8,list,19,FALSE)</f>
        <v>郷</v>
      </c>
      <c r="B25" s="26"/>
      <c r="C25" s="26"/>
      <c r="D25" s="26"/>
      <c r="E25" s="27"/>
      <c r="F25" s="36" t="str">
        <f ca="1">IF($AA$2="入れる",VLOOKUP(8,list,8,FALSE),"")</f>
        <v>きょう</v>
      </c>
      <c r="G25" s="21"/>
      <c r="H25" s="21"/>
      <c r="I25" s="22"/>
      <c r="J25" s="25" t="str">
        <f ca="1">VLOOKUP(7,list,19,FALSE)</f>
        <v>す</v>
      </c>
      <c r="K25" s="26"/>
      <c r="L25" s="26"/>
      <c r="M25" s="26"/>
      <c r="N25" s="27"/>
      <c r="O25" s="36" t="str">
        <f ca="1">IF($AA$2="入れる",VLOOKUP(7,list,8,FALSE),"")</f>
        <v/>
      </c>
      <c r="P25" s="21"/>
      <c r="Q25" s="21"/>
      <c r="R25" s="22"/>
      <c r="S25" s="25" t="str">
        <f ca="1">VLOOKUP(6,list,19,FALSE)</f>
        <v>に</v>
      </c>
      <c r="T25" s="26"/>
      <c r="U25" s="26"/>
      <c r="V25" s="26"/>
      <c r="W25" s="27"/>
      <c r="X25" s="36" t="str">
        <f ca="1">IF($AA$2="入れる",VLOOKUP(6,list,8,FALSE),"")</f>
        <v/>
      </c>
      <c r="Y25" s="21"/>
      <c r="Z25" s="21"/>
      <c r="AA25" s="22"/>
      <c r="AB25" s="25" t="str">
        <f ca="1">VLOOKUP(5,list,19,FALSE)</f>
        <v>に</v>
      </c>
      <c r="AC25" s="26"/>
      <c r="AD25" s="26"/>
      <c r="AE25" s="26"/>
      <c r="AF25" s="27"/>
      <c r="AG25" s="36" t="str">
        <f ca="1">IF($AA$2="入れる",VLOOKUP(5,list,8,FALSE),"")</f>
        <v/>
      </c>
      <c r="AH25" s="21"/>
      <c r="AI25" s="21"/>
      <c r="AJ25" s="22"/>
      <c r="AK25" s="25" t="str">
        <f ca="1">VLOOKUP(4,list,19,FALSE)</f>
        <v>を</v>
      </c>
      <c r="AL25" s="26"/>
      <c r="AM25" s="26"/>
      <c r="AN25" s="26"/>
      <c r="AO25" s="27"/>
      <c r="AP25" s="36" t="str">
        <f ca="1">IF($AA$2="入れる",VLOOKUP(4,list,8,FALSE),"")</f>
        <v/>
      </c>
      <c r="AQ25" s="21"/>
      <c r="AR25" s="21"/>
      <c r="AS25" s="22"/>
      <c r="AT25" s="25" t="str">
        <f ca="1">VLOOKUP(3,list,19,FALSE)</f>
        <v>片</v>
      </c>
      <c r="AU25" s="26"/>
      <c r="AV25" s="26"/>
      <c r="AW25" s="26"/>
      <c r="AX25" s="27"/>
      <c r="AY25" s="36" t="str">
        <f ca="1">IF($AA$2="入れる",VLOOKUP(3,list,8,FALSE),"")</f>
        <v>へん</v>
      </c>
      <c r="AZ25" s="21"/>
      <c r="BA25" s="21"/>
      <c r="BB25" s="22"/>
      <c r="BC25" s="25" t="str">
        <f ca="1">VLOOKUP(2,list,19,FALSE)</f>
        <v>き</v>
      </c>
      <c r="BD25" s="26"/>
      <c r="BE25" s="26"/>
      <c r="BF25" s="26"/>
      <c r="BG25" s="27"/>
      <c r="BH25" s="36" t="str">
        <f ca="1">IF($AA$2="入れる",VLOOKUP(2,list,8,FALSE),"")</f>
        <v/>
      </c>
      <c r="BI25" s="21"/>
      <c r="BJ25" s="21"/>
      <c r="BK25" s="21"/>
      <c r="BL25" s="25" t="str">
        <f ca="1">VLOOKUP(1,list,19,FALSE)</f>
        <v>訪</v>
      </c>
      <c r="BM25" s="26"/>
      <c r="BN25" s="26"/>
      <c r="BO25" s="26"/>
      <c r="BP25" s="27"/>
      <c r="BQ25" s="21" t="str">
        <f ca="1">IF($AA$2="入れる",VLOOKUP(1,list,8,FALSE),"")</f>
        <v>おとず</v>
      </c>
      <c r="BR25" s="21"/>
      <c r="BS25" s="21"/>
      <c r="BT25" s="22"/>
      <c r="BU25" s="114"/>
      <c r="BV25" s="115"/>
      <c r="BW25" s="115"/>
      <c r="BX25" s="115"/>
      <c r="BY25" s="115"/>
      <c r="BZ25" s="115"/>
      <c r="CA25" s="115"/>
      <c r="CB25" s="115"/>
      <c r="CC25" s="115"/>
      <c r="CD25" s="114"/>
      <c r="CE25" s="115"/>
      <c r="CF25" s="115"/>
      <c r="CG25" s="87"/>
      <c r="CH25" s="87"/>
      <c r="CI25" s="87"/>
      <c r="CJ25" s="87"/>
      <c r="CK25" s="87"/>
      <c r="CL25" s="87"/>
      <c r="CM25" s="73"/>
      <c r="CN25" s="71"/>
      <c r="CO25" s="71"/>
      <c r="CP25" s="71"/>
      <c r="CQ25" s="71"/>
      <c r="CR25" s="72"/>
    </row>
    <row r="26" spans="1:96" ht="12.95" customHeight="1" thickBot="1" x14ac:dyDescent="0.2">
      <c r="A26" s="28"/>
      <c r="B26" s="29"/>
      <c r="C26" s="29"/>
      <c r="D26" s="29"/>
      <c r="E26" s="30"/>
      <c r="F26" s="37"/>
      <c r="G26" s="23"/>
      <c r="H26" s="23"/>
      <c r="I26" s="24"/>
      <c r="J26" s="28"/>
      <c r="K26" s="29"/>
      <c r="L26" s="29"/>
      <c r="M26" s="29"/>
      <c r="N26" s="30"/>
      <c r="O26" s="37"/>
      <c r="P26" s="23"/>
      <c r="Q26" s="23"/>
      <c r="R26" s="24"/>
      <c r="S26" s="28"/>
      <c r="T26" s="29"/>
      <c r="U26" s="29"/>
      <c r="V26" s="29"/>
      <c r="W26" s="30"/>
      <c r="X26" s="37"/>
      <c r="Y26" s="23"/>
      <c r="Z26" s="23"/>
      <c r="AA26" s="24"/>
      <c r="AB26" s="28"/>
      <c r="AC26" s="29"/>
      <c r="AD26" s="29"/>
      <c r="AE26" s="29"/>
      <c r="AF26" s="30"/>
      <c r="AG26" s="37"/>
      <c r="AH26" s="23"/>
      <c r="AI26" s="23"/>
      <c r="AJ26" s="24"/>
      <c r="AK26" s="28"/>
      <c r="AL26" s="29"/>
      <c r="AM26" s="29"/>
      <c r="AN26" s="29"/>
      <c r="AO26" s="30"/>
      <c r="AP26" s="37"/>
      <c r="AQ26" s="23"/>
      <c r="AR26" s="23"/>
      <c r="AS26" s="24"/>
      <c r="AT26" s="28"/>
      <c r="AU26" s="29"/>
      <c r="AV26" s="29"/>
      <c r="AW26" s="29"/>
      <c r="AX26" s="30"/>
      <c r="AY26" s="37"/>
      <c r="AZ26" s="23"/>
      <c r="BA26" s="23"/>
      <c r="BB26" s="24"/>
      <c r="BC26" s="28"/>
      <c r="BD26" s="29"/>
      <c r="BE26" s="29"/>
      <c r="BF26" s="29"/>
      <c r="BG26" s="30"/>
      <c r="BH26" s="37"/>
      <c r="BI26" s="23"/>
      <c r="BJ26" s="23"/>
      <c r="BK26" s="23"/>
      <c r="BL26" s="28"/>
      <c r="BM26" s="29"/>
      <c r="BN26" s="29"/>
      <c r="BO26" s="29"/>
      <c r="BP26" s="30"/>
      <c r="BQ26" s="23"/>
      <c r="BR26" s="23"/>
      <c r="BS26" s="23"/>
      <c r="BT26" s="24"/>
      <c r="BU26" s="114"/>
      <c r="BV26" s="115"/>
      <c r="BW26" s="115"/>
      <c r="BX26" s="115"/>
      <c r="BY26" s="115"/>
      <c r="BZ26" s="115"/>
      <c r="CA26" s="115"/>
      <c r="CB26" s="115"/>
      <c r="CC26" s="115"/>
      <c r="CD26" s="114"/>
      <c r="CE26" s="115"/>
      <c r="CF26" s="115"/>
      <c r="CG26" s="87"/>
      <c r="CH26" s="87"/>
      <c r="CI26" s="87"/>
      <c r="CJ26" s="87"/>
      <c r="CK26" s="87"/>
      <c r="CL26" s="87"/>
      <c r="CM26" s="73"/>
      <c r="CN26" s="71"/>
      <c r="CO26" s="71"/>
      <c r="CP26" s="71"/>
      <c r="CQ26" s="71"/>
      <c r="CR26" s="72"/>
    </row>
    <row r="27" spans="1:96" ht="12.95" customHeight="1" thickBot="1" x14ac:dyDescent="0.2">
      <c r="A27" s="28"/>
      <c r="B27" s="29"/>
      <c r="C27" s="29"/>
      <c r="D27" s="29"/>
      <c r="E27" s="30"/>
      <c r="F27" s="37"/>
      <c r="G27" s="23"/>
      <c r="H27" s="23"/>
      <c r="I27" s="24"/>
      <c r="J27" s="28"/>
      <c r="K27" s="29"/>
      <c r="L27" s="29"/>
      <c r="M27" s="29"/>
      <c r="N27" s="30"/>
      <c r="O27" s="37"/>
      <c r="P27" s="23"/>
      <c r="Q27" s="23"/>
      <c r="R27" s="24"/>
      <c r="S27" s="28"/>
      <c r="T27" s="29"/>
      <c r="U27" s="29"/>
      <c r="V27" s="29"/>
      <c r="W27" s="30"/>
      <c r="X27" s="37"/>
      <c r="Y27" s="23"/>
      <c r="Z27" s="23"/>
      <c r="AA27" s="24"/>
      <c r="AB27" s="28"/>
      <c r="AC27" s="29"/>
      <c r="AD27" s="29"/>
      <c r="AE27" s="29"/>
      <c r="AF27" s="30"/>
      <c r="AG27" s="37"/>
      <c r="AH27" s="23"/>
      <c r="AI27" s="23"/>
      <c r="AJ27" s="24"/>
      <c r="AK27" s="28"/>
      <c r="AL27" s="29"/>
      <c r="AM27" s="29"/>
      <c r="AN27" s="29"/>
      <c r="AO27" s="30"/>
      <c r="AP27" s="37"/>
      <c r="AQ27" s="23"/>
      <c r="AR27" s="23"/>
      <c r="AS27" s="24"/>
      <c r="AT27" s="28"/>
      <c r="AU27" s="29"/>
      <c r="AV27" s="29"/>
      <c r="AW27" s="29"/>
      <c r="AX27" s="30"/>
      <c r="AY27" s="37"/>
      <c r="AZ27" s="23"/>
      <c r="BA27" s="23"/>
      <c r="BB27" s="24"/>
      <c r="BC27" s="28"/>
      <c r="BD27" s="29"/>
      <c r="BE27" s="29"/>
      <c r="BF27" s="29"/>
      <c r="BG27" s="30"/>
      <c r="BH27" s="37"/>
      <c r="BI27" s="23"/>
      <c r="BJ27" s="23"/>
      <c r="BK27" s="23"/>
      <c r="BL27" s="28"/>
      <c r="BM27" s="29"/>
      <c r="BN27" s="29"/>
      <c r="BO27" s="29"/>
      <c r="BP27" s="30"/>
      <c r="BQ27" s="23"/>
      <c r="BR27" s="23"/>
      <c r="BS27" s="23"/>
      <c r="BT27" s="24"/>
      <c r="BU27" s="112" t="str">
        <f ca="1">VLOOKUP(7,yomi,2,FALSE)</f>
        <v>爽快</v>
      </c>
      <c r="BV27" s="113"/>
      <c r="BW27" s="113"/>
      <c r="BX27" s="116"/>
      <c r="BY27" s="113"/>
      <c r="BZ27" s="113"/>
      <c r="CA27" s="113"/>
      <c r="CB27" s="113"/>
      <c r="CC27" s="113"/>
      <c r="CD27" s="112" t="str">
        <f ca="1">VLOOKUP(3,yomi,2,FALSE)</f>
        <v>脳裏に浮かぶ</v>
      </c>
      <c r="CE27" s="113"/>
      <c r="CF27" s="113"/>
      <c r="CG27" s="88"/>
      <c r="CH27" s="86"/>
      <c r="CI27" s="86"/>
      <c r="CJ27" s="86"/>
      <c r="CK27" s="86"/>
      <c r="CL27" s="86"/>
      <c r="CM27" s="73"/>
      <c r="CN27" s="71"/>
      <c r="CO27" s="71"/>
      <c r="CP27" s="71"/>
      <c r="CQ27" s="71"/>
      <c r="CR27" s="72"/>
    </row>
    <row r="28" spans="1:96" ht="12.95" customHeight="1" thickBot="1" x14ac:dyDescent="0.2">
      <c r="A28" s="28"/>
      <c r="B28" s="29"/>
      <c r="C28" s="29"/>
      <c r="D28" s="29"/>
      <c r="E28" s="30"/>
      <c r="F28" s="37"/>
      <c r="G28" s="23"/>
      <c r="H28" s="23"/>
      <c r="I28" s="24"/>
      <c r="J28" s="28"/>
      <c r="K28" s="29"/>
      <c r="L28" s="29"/>
      <c r="M28" s="29"/>
      <c r="N28" s="30"/>
      <c r="O28" s="37"/>
      <c r="P28" s="23"/>
      <c r="Q28" s="23"/>
      <c r="R28" s="24"/>
      <c r="S28" s="28"/>
      <c r="T28" s="29"/>
      <c r="U28" s="29"/>
      <c r="V28" s="29"/>
      <c r="W28" s="30"/>
      <c r="X28" s="37"/>
      <c r="Y28" s="23"/>
      <c r="Z28" s="23"/>
      <c r="AA28" s="24"/>
      <c r="AB28" s="28"/>
      <c r="AC28" s="29"/>
      <c r="AD28" s="29"/>
      <c r="AE28" s="29"/>
      <c r="AF28" s="30"/>
      <c r="AG28" s="37"/>
      <c r="AH28" s="23"/>
      <c r="AI28" s="23"/>
      <c r="AJ28" s="24"/>
      <c r="AK28" s="28"/>
      <c r="AL28" s="29"/>
      <c r="AM28" s="29"/>
      <c r="AN28" s="29"/>
      <c r="AO28" s="30"/>
      <c r="AP28" s="37"/>
      <c r="AQ28" s="23"/>
      <c r="AR28" s="23"/>
      <c r="AS28" s="24"/>
      <c r="AT28" s="28"/>
      <c r="AU28" s="29"/>
      <c r="AV28" s="29"/>
      <c r="AW28" s="29"/>
      <c r="AX28" s="30"/>
      <c r="AY28" s="37"/>
      <c r="AZ28" s="23"/>
      <c r="BA28" s="23"/>
      <c r="BB28" s="24"/>
      <c r="BC28" s="28"/>
      <c r="BD28" s="29"/>
      <c r="BE28" s="29"/>
      <c r="BF28" s="29"/>
      <c r="BG28" s="30"/>
      <c r="BH28" s="37"/>
      <c r="BI28" s="23"/>
      <c r="BJ28" s="23"/>
      <c r="BK28" s="23"/>
      <c r="BL28" s="28"/>
      <c r="BM28" s="29"/>
      <c r="BN28" s="29"/>
      <c r="BO28" s="29"/>
      <c r="BP28" s="30"/>
      <c r="BQ28" s="23"/>
      <c r="BR28" s="23"/>
      <c r="BS28" s="23"/>
      <c r="BT28" s="24"/>
      <c r="BU28" s="114"/>
      <c r="BV28" s="115"/>
      <c r="BW28" s="115"/>
      <c r="BX28" s="115"/>
      <c r="BY28" s="115"/>
      <c r="BZ28" s="115"/>
      <c r="CA28" s="115"/>
      <c r="CB28" s="115"/>
      <c r="CC28" s="115"/>
      <c r="CD28" s="114"/>
      <c r="CE28" s="115"/>
      <c r="CF28" s="115"/>
      <c r="CG28" s="87"/>
      <c r="CH28" s="87"/>
      <c r="CI28" s="87"/>
      <c r="CJ28" s="87"/>
      <c r="CK28" s="87"/>
      <c r="CL28" s="87"/>
      <c r="CM28" s="73"/>
      <c r="CN28" s="71"/>
      <c r="CO28" s="71"/>
      <c r="CP28" s="71"/>
      <c r="CQ28" s="71"/>
      <c r="CR28" s="72"/>
    </row>
    <row r="29" spans="1:96" ht="12.95" customHeight="1" thickBot="1" x14ac:dyDescent="0.2">
      <c r="A29" s="25" t="str">
        <f ca="1">VLOOKUP(8,list,20,FALSE)</f>
        <v>の</v>
      </c>
      <c r="B29" s="26"/>
      <c r="C29" s="26"/>
      <c r="D29" s="26"/>
      <c r="E29" s="27"/>
      <c r="F29" s="36" t="str">
        <f ca="1">IF($AA$2="入れる",VLOOKUP(8,list,9,FALSE),"")</f>
        <v/>
      </c>
      <c r="G29" s="21"/>
      <c r="H29" s="21"/>
      <c r="I29" s="22"/>
      <c r="J29" s="25" t="str">
        <f ca="1">VLOOKUP(7,list,20,FALSE)</f>
        <v>る</v>
      </c>
      <c r="K29" s="26"/>
      <c r="L29" s="26"/>
      <c r="M29" s="26"/>
      <c r="N29" s="27"/>
      <c r="O29" s="36" t="str">
        <f ca="1">IF($AA$2="入れる",VLOOKUP(7,list,9,FALSE),"")</f>
        <v/>
      </c>
      <c r="P29" s="21"/>
      <c r="Q29" s="21"/>
      <c r="R29" s="22"/>
      <c r="S29" s="25" t="str">
        <f ca="1">VLOOKUP(6,list,20,FALSE)</f>
        <v>耐</v>
      </c>
      <c r="T29" s="26"/>
      <c r="U29" s="26"/>
      <c r="V29" s="26"/>
      <c r="W29" s="27"/>
      <c r="X29" s="36" t="str">
        <f ca="1">IF($AA$2="入れる",VLOOKUP(6,list,9,FALSE),"")</f>
        <v>た</v>
      </c>
      <c r="Y29" s="21"/>
      <c r="Z29" s="21"/>
      <c r="AA29" s="22"/>
      <c r="AB29" s="25" t="str">
        <f ca="1">VLOOKUP(5,list,20,FALSE)</f>
        <v>心</v>
      </c>
      <c r="AC29" s="26"/>
      <c r="AD29" s="26"/>
      <c r="AE29" s="26"/>
      <c r="AF29" s="27"/>
      <c r="AG29" s="36" t="str">
        <f ca="1">IF($AA$2="入れる",VLOOKUP(5,list,9,FALSE),"")</f>
        <v>こころ</v>
      </c>
      <c r="AH29" s="21"/>
      <c r="AI29" s="21"/>
      <c r="AJ29" s="22"/>
      <c r="AK29" s="25" t="str">
        <f ca="1">VLOOKUP(4,list,20,FALSE)</f>
        <v>理</v>
      </c>
      <c r="AL29" s="26"/>
      <c r="AM29" s="26"/>
      <c r="AN29" s="26"/>
      <c r="AO29" s="27"/>
      <c r="AP29" s="36" t="str">
        <f ca="1">IF($AA$2="入れる",VLOOKUP(4,list,9,FALSE),"")</f>
        <v>り</v>
      </c>
      <c r="AQ29" s="21"/>
      <c r="AR29" s="21"/>
      <c r="AS29" s="22"/>
      <c r="AT29" s="25" t="str">
        <f ca="1">VLOOKUP(3,list,20,FALSE)</f>
        <v>が</v>
      </c>
      <c r="AU29" s="26"/>
      <c r="AV29" s="26"/>
      <c r="AW29" s="26"/>
      <c r="AX29" s="27"/>
      <c r="AY29" s="36" t="str">
        <f ca="1">IF($AA$2="入れる",VLOOKUP(3,list,9,FALSE),"")</f>
        <v/>
      </c>
      <c r="AZ29" s="21"/>
      <c r="BA29" s="21"/>
      <c r="BB29" s="22"/>
      <c r="BC29" s="25" t="str">
        <f ca="1">VLOOKUP(2,list,20,FALSE)</f>
        <v>を</v>
      </c>
      <c r="BD29" s="26"/>
      <c r="BE29" s="26"/>
      <c r="BF29" s="26"/>
      <c r="BG29" s="27"/>
      <c r="BH29" s="36" t="str">
        <f ca="1">IF($AA$2="入れる",VLOOKUP(2,list,9,FALSE),"")</f>
        <v/>
      </c>
      <c r="BI29" s="21"/>
      <c r="BJ29" s="21"/>
      <c r="BK29" s="21"/>
      <c r="BL29" s="25" t="str">
        <f ca="1">VLOOKUP(1,list,20,FALSE)</f>
        <v>れ</v>
      </c>
      <c r="BM29" s="26"/>
      <c r="BN29" s="26"/>
      <c r="BO29" s="26"/>
      <c r="BP29" s="27"/>
      <c r="BQ29" s="21" t="str">
        <f ca="1">IF($AA$2="入れる",VLOOKUP(1,list,9,FALSE),"")</f>
        <v/>
      </c>
      <c r="BR29" s="21"/>
      <c r="BS29" s="21"/>
      <c r="BT29" s="22"/>
      <c r="BU29" s="114"/>
      <c r="BV29" s="115"/>
      <c r="BW29" s="115"/>
      <c r="BX29" s="115"/>
      <c r="BY29" s="115"/>
      <c r="BZ29" s="115"/>
      <c r="CA29" s="115"/>
      <c r="CB29" s="115"/>
      <c r="CC29" s="115"/>
      <c r="CD29" s="114"/>
      <c r="CE29" s="115"/>
      <c r="CF29" s="115"/>
      <c r="CG29" s="87"/>
      <c r="CH29" s="87"/>
      <c r="CI29" s="87"/>
      <c r="CJ29" s="87"/>
      <c r="CK29" s="87"/>
      <c r="CL29" s="87"/>
      <c r="CM29" s="73"/>
      <c r="CN29" s="71"/>
      <c r="CO29" s="71"/>
      <c r="CP29" s="71"/>
      <c r="CQ29" s="71"/>
      <c r="CR29" s="72"/>
    </row>
    <row r="30" spans="1:96" ht="12.95" customHeight="1" thickBot="1" x14ac:dyDescent="0.2">
      <c r="A30" s="28"/>
      <c r="B30" s="29"/>
      <c r="C30" s="29"/>
      <c r="D30" s="29"/>
      <c r="E30" s="30"/>
      <c r="F30" s="37"/>
      <c r="G30" s="23"/>
      <c r="H30" s="23"/>
      <c r="I30" s="24"/>
      <c r="J30" s="28"/>
      <c r="K30" s="29"/>
      <c r="L30" s="29"/>
      <c r="M30" s="29"/>
      <c r="N30" s="30"/>
      <c r="O30" s="37"/>
      <c r="P30" s="23"/>
      <c r="Q30" s="23"/>
      <c r="R30" s="24"/>
      <c r="S30" s="28"/>
      <c r="T30" s="29"/>
      <c r="U30" s="29"/>
      <c r="V30" s="29"/>
      <c r="W30" s="30"/>
      <c r="X30" s="37"/>
      <c r="Y30" s="23"/>
      <c r="Z30" s="23"/>
      <c r="AA30" s="24"/>
      <c r="AB30" s="28"/>
      <c r="AC30" s="29"/>
      <c r="AD30" s="29"/>
      <c r="AE30" s="29"/>
      <c r="AF30" s="30"/>
      <c r="AG30" s="37"/>
      <c r="AH30" s="23"/>
      <c r="AI30" s="23"/>
      <c r="AJ30" s="24"/>
      <c r="AK30" s="28"/>
      <c r="AL30" s="29"/>
      <c r="AM30" s="29"/>
      <c r="AN30" s="29"/>
      <c r="AO30" s="30"/>
      <c r="AP30" s="37"/>
      <c r="AQ30" s="23"/>
      <c r="AR30" s="23"/>
      <c r="AS30" s="24"/>
      <c r="AT30" s="28"/>
      <c r="AU30" s="29"/>
      <c r="AV30" s="29"/>
      <c r="AW30" s="29"/>
      <c r="AX30" s="30"/>
      <c r="AY30" s="37"/>
      <c r="AZ30" s="23"/>
      <c r="BA30" s="23"/>
      <c r="BB30" s="24"/>
      <c r="BC30" s="28"/>
      <c r="BD30" s="29"/>
      <c r="BE30" s="29"/>
      <c r="BF30" s="29"/>
      <c r="BG30" s="30"/>
      <c r="BH30" s="37"/>
      <c r="BI30" s="23"/>
      <c r="BJ30" s="23"/>
      <c r="BK30" s="23"/>
      <c r="BL30" s="28"/>
      <c r="BM30" s="29"/>
      <c r="BN30" s="29"/>
      <c r="BO30" s="29"/>
      <c r="BP30" s="30"/>
      <c r="BQ30" s="23"/>
      <c r="BR30" s="23"/>
      <c r="BS30" s="23"/>
      <c r="BT30" s="24"/>
      <c r="BU30" s="114"/>
      <c r="BV30" s="115"/>
      <c r="BW30" s="115"/>
      <c r="BX30" s="115"/>
      <c r="BY30" s="115"/>
      <c r="BZ30" s="115"/>
      <c r="CA30" s="115"/>
      <c r="CB30" s="115"/>
      <c r="CC30" s="115"/>
      <c r="CD30" s="114"/>
      <c r="CE30" s="115"/>
      <c r="CF30" s="115"/>
      <c r="CG30" s="87"/>
      <c r="CH30" s="87"/>
      <c r="CI30" s="87"/>
      <c r="CJ30" s="87"/>
      <c r="CK30" s="87"/>
      <c r="CL30" s="87"/>
      <c r="CM30" s="73"/>
      <c r="CN30" s="71"/>
      <c r="CO30" s="71"/>
      <c r="CP30" s="71"/>
      <c r="CQ30" s="71"/>
      <c r="CR30" s="72"/>
    </row>
    <row r="31" spans="1:96" ht="12.95" customHeight="1" thickBot="1" x14ac:dyDescent="0.2">
      <c r="A31" s="28"/>
      <c r="B31" s="29"/>
      <c r="C31" s="29"/>
      <c r="D31" s="29"/>
      <c r="E31" s="30"/>
      <c r="F31" s="37"/>
      <c r="G31" s="23"/>
      <c r="H31" s="23"/>
      <c r="I31" s="24"/>
      <c r="J31" s="28"/>
      <c r="K31" s="29"/>
      <c r="L31" s="29"/>
      <c r="M31" s="29"/>
      <c r="N31" s="30"/>
      <c r="O31" s="37"/>
      <c r="P31" s="23"/>
      <c r="Q31" s="23"/>
      <c r="R31" s="24"/>
      <c r="S31" s="28"/>
      <c r="T31" s="29"/>
      <c r="U31" s="29"/>
      <c r="V31" s="29"/>
      <c r="W31" s="30"/>
      <c r="X31" s="37"/>
      <c r="Y31" s="23"/>
      <c r="Z31" s="23"/>
      <c r="AA31" s="24"/>
      <c r="AB31" s="28"/>
      <c r="AC31" s="29"/>
      <c r="AD31" s="29"/>
      <c r="AE31" s="29"/>
      <c r="AF31" s="30"/>
      <c r="AG31" s="37"/>
      <c r="AH31" s="23"/>
      <c r="AI31" s="23"/>
      <c r="AJ31" s="24"/>
      <c r="AK31" s="28"/>
      <c r="AL31" s="29"/>
      <c r="AM31" s="29"/>
      <c r="AN31" s="29"/>
      <c r="AO31" s="30"/>
      <c r="AP31" s="37"/>
      <c r="AQ31" s="23"/>
      <c r="AR31" s="23"/>
      <c r="AS31" s="24"/>
      <c r="AT31" s="28"/>
      <c r="AU31" s="29"/>
      <c r="AV31" s="29"/>
      <c r="AW31" s="29"/>
      <c r="AX31" s="30"/>
      <c r="AY31" s="37"/>
      <c r="AZ31" s="23"/>
      <c r="BA31" s="23"/>
      <c r="BB31" s="24"/>
      <c r="BC31" s="28"/>
      <c r="BD31" s="29"/>
      <c r="BE31" s="29"/>
      <c r="BF31" s="29"/>
      <c r="BG31" s="30"/>
      <c r="BH31" s="37"/>
      <c r="BI31" s="23"/>
      <c r="BJ31" s="23"/>
      <c r="BK31" s="23"/>
      <c r="BL31" s="28"/>
      <c r="BM31" s="29"/>
      <c r="BN31" s="29"/>
      <c r="BO31" s="29"/>
      <c r="BP31" s="30"/>
      <c r="BQ31" s="23"/>
      <c r="BR31" s="23"/>
      <c r="BS31" s="23"/>
      <c r="BT31" s="24"/>
      <c r="BU31" s="114"/>
      <c r="BV31" s="115"/>
      <c r="BW31" s="115"/>
      <c r="BX31" s="115"/>
      <c r="BY31" s="115"/>
      <c r="BZ31" s="115"/>
      <c r="CA31" s="115"/>
      <c r="CB31" s="115"/>
      <c r="CC31" s="115"/>
      <c r="CD31" s="114"/>
      <c r="CE31" s="115"/>
      <c r="CF31" s="115"/>
      <c r="CG31" s="87"/>
      <c r="CH31" s="87"/>
      <c r="CI31" s="87"/>
      <c r="CJ31" s="87"/>
      <c r="CK31" s="87"/>
      <c r="CL31" s="87"/>
      <c r="CM31" s="73"/>
      <c r="CN31" s="71"/>
      <c r="CO31" s="71"/>
      <c r="CP31" s="71"/>
      <c r="CQ31" s="71"/>
      <c r="CR31" s="72"/>
    </row>
    <row r="32" spans="1:96" ht="12.95" customHeight="1" thickBot="1" x14ac:dyDescent="0.2">
      <c r="A32" s="28"/>
      <c r="B32" s="29"/>
      <c r="C32" s="29"/>
      <c r="D32" s="29"/>
      <c r="E32" s="30"/>
      <c r="F32" s="37"/>
      <c r="G32" s="23"/>
      <c r="H32" s="23"/>
      <c r="I32" s="24"/>
      <c r="J32" s="28"/>
      <c r="K32" s="29"/>
      <c r="L32" s="29"/>
      <c r="M32" s="29"/>
      <c r="N32" s="30"/>
      <c r="O32" s="37"/>
      <c r="P32" s="23"/>
      <c r="Q32" s="23"/>
      <c r="R32" s="24"/>
      <c r="S32" s="28"/>
      <c r="T32" s="29"/>
      <c r="U32" s="29"/>
      <c r="V32" s="29"/>
      <c r="W32" s="30"/>
      <c r="X32" s="37"/>
      <c r="Y32" s="23"/>
      <c r="Z32" s="23"/>
      <c r="AA32" s="24"/>
      <c r="AB32" s="28"/>
      <c r="AC32" s="29"/>
      <c r="AD32" s="29"/>
      <c r="AE32" s="29"/>
      <c r="AF32" s="30"/>
      <c r="AG32" s="37"/>
      <c r="AH32" s="23"/>
      <c r="AI32" s="23"/>
      <c r="AJ32" s="24"/>
      <c r="AK32" s="28"/>
      <c r="AL32" s="29"/>
      <c r="AM32" s="29"/>
      <c r="AN32" s="29"/>
      <c r="AO32" s="30"/>
      <c r="AP32" s="37"/>
      <c r="AQ32" s="23"/>
      <c r="AR32" s="23"/>
      <c r="AS32" s="24"/>
      <c r="AT32" s="28"/>
      <c r="AU32" s="29"/>
      <c r="AV32" s="29"/>
      <c r="AW32" s="29"/>
      <c r="AX32" s="30"/>
      <c r="AY32" s="37"/>
      <c r="AZ32" s="23"/>
      <c r="BA32" s="23"/>
      <c r="BB32" s="24"/>
      <c r="BC32" s="28"/>
      <c r="BD32" s="29"/>
      <c r="BE32" s="29"/>
      <c r="BF32" s="29"/>
      <c r="BG32" s="30"/>
      <c r="BH32" s="37"/>
      <c r="BI32" s="23"/>
      <c r="BJ32" s="23"/>
      <c r="BK32" s="23"/>
      <c r="BL32" s="28"/>
      <c r="BM32" s="29"/>
      <c r="BN32" s="29"/>
      <c r="BO32" s="29"/>
      <c r="BP32" s="30"/>
      <c r="BQ32" s="23"/>
      <c r="BR32" s="23"/>
      <c r="BS32" s="23"/>
      <c r="BT32" s="24"/>
      <c r="BU32" s="114"/>
      <c r="BV32" s="115"/>
      <c r="BW32" s="115"/>
      <c r="BX32" s="115"/>
      <c r="BY32" s="115"/>
      <c r="BZ32" s="115"/>
      <c r="CA32" s="115"/>
      <c r="CB32" s="115"/>
      <c r="CC32" s="115"/>
      <c r="CD32" s="114"/>
      <c r="CE32" s="115"/>
      <c r="CF32" s="115"/>
      <c r="CG32" s="87"/>
      <c r="CH32" s="87"/>
      <c r="CI32" s="87"/>
      <c r="CJ32" s="87"/>
      <c r="CK32" s="87"/>
      <c r="CL32" s="87"/>
      <c r="CM32" s="73"/>
      <c r="CN32" s="71"/>
      <c r="CO32" s="71"/>
      <c r="CP32" s="71"/>
      <c r="CQ32" s="71"/>
      <c r="CR32" s="72"/>
    </row>
    <row r="33" spans="1:104" ht="12.95" customHeight="1" thickBot="1" x14ac:dyDescent="0.2">
      <c r="A33" s="25" t="str">
        <f ca="1">VLOOKUP(8,list,21,FALSE)</f>
        <v>味</v>
      </c>
      <c r="B33" s="26"/>
      <c r="C33" s="26"/>
      <c r="D33" s="26"/>
      <c r="E33" s="27"/>
      <c r="F33" s="36" t="str">
        <f ca="1">IF($AA$2="入れる",VLOOKUP(8,list,10,FALSE),"")</f>
        <v>あじ</v>
      </c>
      <c r="G33" s="21"/>
      <c r="H33" s="21"/>
      <c r="I33" s="22"/>
      <c r="J33" s="25" t="str">
        <f ca="1">VLOOKUP(7,list,21,FALSE)</f>
        <v>体</v>
      </c>
      <c r="K33" s="26"/>
      <c r="L33" s="26"/>
      <c r="M33" s="26"/>
      <c r="N33" s="27"/>
      <c r="O33" s="36" t="str">
        <f ca="1">IF($AA$2="入れる",VLOOKUP(7,list,10,FALSE),"")</f>
        <v>たい</v>
      </c>
      <c r="P33" s="21"/>
      <c r="Q33" s="21"/>
      <c r="R33" s="22"/>
      <c r="S33" s="25" t="str">
        <f ca="1">VLOOKUP(6,list,21,FALSE)</f>
        <v>え</v>
      </c>
      <c r="T33" s="26"/>
      <c r="U33" s="26"/>
      <c r="V33" s="26"/>
      <c r="W33" s="27"/>
      <c r="X33" s="36" t="str">
        <f ca="1">IF($AA$2="入れる",VLOOKUP(6,list,10,FALSE),"")</f>
        <v/>
      </c>
      <c r="Y33" s="21"/>
      <c r="Z33" s="21"/>
      <c r="AA33" s="22"/>
      <c r="AB33" s="25" t="str">
        <f ca="1">VLOOKUP(5,list,21,FALSE)</f>
        <v>を</v>
      </c>
      <c r="AC33" s="26"/>
      <c r="AD33" s="26"/>
      <c r="AE33" s="26"/>
      <c r="AF33" s="27"/>
      <c r="AG33" s="36" t="str">
        <f ca="1">IF($AA$2="入れる",VLOOKUP(5,list,10,FALSE),"")</f>
        <v/>
      </c>
      <c r="AH33" s="21"/>
      <c r="AI33" s="21"/>
      <c r="AJ33" s="22"/>
      <c r="AK33" s="25" t="str">
        <f ca="1">VLOOKUP(4,list,21,FALSE)</f>
        <v>解</v>
      </c>
      <c r="AL33" s="26"/>
      <c r="AM33" s="26"/>
      <c r="AN33" s="26"/>
      <c r="AO33" s="27"/>
      <c r="AP33" s="36" t="str">
        <f ca="1">IF($AA$2="入れる",VLOOKUP(4,list,10,FALSE),"")</f>
        <v>かい</v>
      </c>
      <c r="AQ33" s="21"/>
      <c r="AR33" s="21"/>
      <c r="AS33" s="22"/>
      <c r="AT33" s="25" t="str">
        <f ca="1">VLOOKUP(3,list,21,FALSE)</f>
        <v>散</v>
      </c>
      <c r="AU33" s="26"/>
      <c r="AV33" s="26"/>
      <c r="AW33" s="26"/>
      <c r="AX33" s="27"/>
      <c r="AY33" s="36" t="str">
        <f ca="1">IF($AA$2="入れる",VLOOKUP(3,list,10,FALSE),"")</f>
        <v>さん</v>
      </c>
      <c r="AZ33" s="21"/>
      <c r="BA33" s="21"/>
      <c r="BB33" s="22"/>
      <c r="BC33" s="25" t="str">
        <f ca="1">VLOOKUP(2,list,21,FALSE)</f>
        <v>抑</v>
      </c>
      <c r="BD33" s="26"/>
      <c r="BE33" s="26"/>
      <c r="BF33" s="26"/>
      <c r="BG33" s="27"/>
      <c r="BH33" s="36" t="str">
        <f ca="1">IF($AA$2="入れる",VLOOKUP(2,list,10,FALSE),"")</f>
        <v>おさ</v>
      </c>
      <c r="BI33" s="21"/>
      <c r="BJ33" s="21"/>
      <c r="BK33" s="21"/>
      <c r="BL33" s="25" t="str">
        <f ca="1">VLOOKUP(1,list,21,FALSE)</f>
        <v>た</v>
      </c>
      <c r="BM33" s="26"/>
      <c r="BN33" s="26"/>
      <c r="BO33" s="26"/>
      <c r="BP33" s="27"/>
      <c r="BQ33" s="21" t="str">
        <f ca="1">IF($AA$2="入れる",VLOOKUP(1,list,10,FALSE),"")</f>
        <v/>
      </c>
      <c r="BR33" s="21"/>
      <c r="BS33" s="21"/>
      <c r="BT33" s="22"/>
      <c r="BU33" s="114"/>
      <c r="BV33" s="115"/>
      <c r="BW33" s="115"/>
      <c r="BX33" s="115"/>
      <c r="BY33" s="115"/>
      <c r="BZ33" s="115"/>
      <c r="CA33" s="115"/>
      <c r="CB33" s="115"/>
      <c r="CC33" s="115"/>
      <c r="CD33" s="114"/>
      <c r="CE33" s="115"/>
      <c r="CF33" s="115"/>
      <c r="CG33" s="87"/>
      <c r="CH33" s="87"/>
      <c r="CI33" s="87"/>
      <c r="CJ33" s="87"/>
      <c r="CK33" s="87"/>
      <c r="CL33" s="87"/>
      <c r="CM33" s="73"/>
      <c r="CN33" s="71"/>
      <c r="CO33" s="71"/>
      <c r="CP33" s="71"/>
      <c r="CQ33" s="71"/>
      <c r="CR33" s="72"/>
      <c r="CZ33" s="17"/>
    </row>
    <row r="34" spans="1:104" ht="12.95" customHeight="1" thickBot="1" x14ac:dyDescent="0.2">
      <c r="A34" s="28"/>
      <c r="B34" s="29"/>
      <c r="C34" s="29"/>
      <c r="D34" s="29"/>
      <c r="E34" s="30"/>
      <c r="F34" s="37"/>
      <c r="G34" s="23"/>
      <c r="H34" s="23"/>
      <c r="I34" s="24"/>
      <c r="J34" s="28"/>
      <c r="K34" s="29"/>
      <c r="L34" s="29"/>
      <c r="M34" s="29"/>
      <c r="N34" s="30"/>
      <c r="O34" s="37"/>
      <c r="P34" s="23"/>
      <c r="Q34" s="23"/>
      <c r="R34" s="24"/>
      <c r="S34" s="28"/>
      <c r="T34" s="29"/>
      <c r="U34" s="29"/>
      <c r="V34" s="29"/>
      <c r="W34" s="30"/>
      <c r="X34" s="37"/>
      <c r="Y34" s="23"/>
      <c r="Z34" s="23"/>
      <c r="AA34" s="24"/>
      <c r="AB34" s="28"/>
      <c r="AC34" s="29"/>
      <c r="AD34" s="29"/>
      <c r="AE34" s="29"/>
      <c r="AF34" s="30"/>
      <c r="AG34" s="37"/>
      <c r="AH34" s="23"/>
      <c r="AI34" s="23"/>
      <c r="AJ34" s="24"/>
      <c r="AK34" s="28"/>
      <c r="AL34" s="29"/>
      <c r="AM34" s="29"/>
      <c r="AN34" s="29"/>
      <c r="AO34" s="30"/>
      <c r="AP34" s="37"/>
      <c r="AQ34" s="23"/>
      <c r="AR34" s="23"/>
      <c r="AS34" s="24"/>
      <c r="AT34" s="28"/>
      <c r="AU34" s="29"/>
      <c r="AV34" s="29"/>
      <c r="AW34" s="29"/>
      <c r="AX34" s="30"/>
      <c r="AY34" s="37"/>
      <c r="AZ34" s="23"/>
      <c r="BA34" s="23"/>
      <c r="BB34" s="24"/>
      <c r="BC34" s="28"/>
      <c r="BD34" s="29"/>
      <c r="BE34" s="29"/>
      <c r="BF34" s="29"/>
      <c r="BG34" s="30"/>
      <c r="BH34" s="37"/>
      <c r="BI34" s="23"/>
      <c r="BJ34" s="23"/>
      <c r="BK34" s="23"/>
      <c r="BL34" s="28"/>
      <c r="BM34" s="29"/>
      <c r="BN34" s="29"/>
      <c r="BO34" s="29"/>
      <c r="BP34" s="30"/>
      <c r="BQ34" s="23"/>
      <c r="BR34" s="23"/>
      <c r="BS34" s="23"/>
      <c r="BT34" s="24"/>
      <c r="BU34" s="114"/>
      <c r="BV34" s="115"/>
      <c r="BW34" s="115"/>
      <c r="BX34" s="115"/>
      <c r="BY34" s="115"/>
      <c r="BZ34" s="115"/>
      <c r="CA34" s="115"/>
      <c r="CB34" s="115"/>
      <c r="CC34" s="115"/>
      <c r="CD34" s="114"/>
      <c r="CE34" s="115"/>
      <c r="CF34" s="115"/>
      <c r="CG34" s="87"/>
      <c r="CH34" s="87"/>
      <c r="CI34" s="87"/>
      <c r="CJ34" s="87"/>
      <c r="CK34" s="87"/>
      <c r="CL34" s="87"/>
      <c r="CM34" s="73"/>
      <c r="CN34" s="71"/>
      <c r="CO34" s="71"/>
      <c r="CP34" s="71"/>
      <c r="CQ34" s="71"/>
      <c r="CR34" s="72"/>
      <c r="CZ34" s="17"/>
    </row>
    <row r="35" spans="1:104" ht="12.95" customHeight="1" thickBot="1" x14ac:dyDescent="0.2">
      <c r="A35" s="28"/>
      <c r="B35" s="29"/>
      <c r="C35" s="29"/>
      <c r="D35" s="29"/>
      <c r="E35" s="30"/>
      <c r="F35" s="37"/>
      <c r="G35" s="23"/>
      <c r="H35" s="23"/>
      <c r="I35" s="24"/>
      <c r="J35" s="28"/>
      <c r="K35" s="29"/>
      <c r="L35" s="29"/>
      <c r="M35" s="29"/>
      <c r="N35" s="30"/>
      <c r="O35" s="37"/>
      <c r="P35" s="23"/>
      <c r="Q35" s="23"/>
      <c r="R35" s="24"/>
      <c r="S35" s="28"/>
      <c r="T35" s="29"/>
      <c r="U35" s="29"/>
      <c r="V35" s="29"/>
      <c r="W35" s="30"/>
      <c r="X35" s="37"/>
      <c r="Y35" s="23"/>
      <c r="Z35" s="23"/>
      <c r="AA35" s="24"/>
      <c r="AB35" s="28"/>
      <c r="AC35" s="29"/>
      <c r="AD35" s="29"/>
      <c r="AE35" s="29"/>
      <c r="AF35" s="30"/>
      <c r="AG35" s="37"/>
      <c r="AH35" s="23"/>
      <c r="AI35" s="23"/>
      <c r="AJ35" s="24"/>
      <c r="AK35" s="28"/>
      <c r="AL35" s="29"/>
      <c r="AM35" s="29"/>
      <c r="AN35" s="29"/>
      <c r="AO35" s="30"/>
      <c r="AP35" s="37"/>
      <c r="AQ35" s="23"/>
      <c r="AR35" s="23"/>
      <c r="AS35" s="24"/>
      <c r="AT35" s="28"/>
      <c r="AU35" s="29"/>
      <c r="AV35" s="29"/>
      <c r="AW35" s="29"/>
      <c r="AX35" s="30"/>
      <c r="AY35" s="37"/>
      <c r="AZ35" s="23"/>
      <c r="BA35" s="23"/>
      <c r="BB35" s="24"/>
      <c r="BC35" s="28"/>
      <c r="BD35" s="29"/>
      <c r="BE35" s="29"/>
      <c r="BF35" s="29"/>
      <c r="BG35" s="30"/>
      <c r="BH35" s="37"/>
      <c r="BI35" s="23"/>
      <c r="BJ35" s="23"/>
      <c r="BK35" s="23"/>
      <c r="BL35" s="28"/>
      <c r="BM35" s="29"/>
      <c r="BN35" s="29"/>
      <c r="BO35" s="29"/>
      <c r="BP35" s="30"/>
      <c r="BQ35" s="23"/>
      <c r="BR35" s="23"/>
      <c r="BS35" s="23"/>
      <c r="BT35" s="24"/>
      <c r="BU35" s="114"/>
      <c r="BV35" s="115"/>
      <c r="BW35" s="115"/>
      <c r="BX35" s="115"/>
      <c r="BY35" s="115"/>
      <c r="BZ35" s="115"/>
      <c r="CA35" s="115"/>
      <c r="CB35" s="115"/>
      <c r="CC35" s="115"/>
      <c r="CD35" s="114"/>
      <c r="CE35" s="115"/>
      <c r="CF35" s="115"/>
      <c r="CG35" s="87"/>
      <c r="CH35" s="87"/>
      <c r="CI35" s="87"/>
      <c r="CJ35" s="87"/>
      <c r="CK35" s="87"/>
      <c r="CL35" s="87"/>
      <c r="CM35" s="73"/>
      <c r="CN35" s="71"/>
      <c r="CO35" s="71"/>
      <c r="CP35" s="71"/>
      <c r="CQ35" s="71"/>
      <c r="CR35" s="72"/>
      <c r="CZ35" s="17"/>
    </row>
    <row r="36" spans="1:104" ht="12.95" customHeight="1" thickBot="1" x14ac:dyDescent="0.2">
      <c r="A36" s="28"/>
      <c r="B36" s="29"/>
      <c r="C36" s="29"/>
      <c r="D36" s="29"/>
      <c r="E36" s="30"/>
      <c r="F36" s="37"/>
      <c r="G36" s="23"/>
      <c r="H36" s="23"/>
      <c r="I36" s="24"/>
      <c r="J36" s="28"/>
      <c r="K36" s="29"/>
      <c r="L36" s="29"/>
      <c r="M36" s="29"/>
      <c r="N36" s="30"/>
      <c r="O36" s="37"/>
      <c r="P36" s="23"/>
      <c r="Q36" s="23"/>
      <c r="R36" s="24"/>
      <c r="S36" s="28"/>
      <c r="T36" s="29"/>
      <c r="U36" s="29"/>
      <c r="V36" s="29"/>
      <c r="W36" s="30"/>
      <c r="X36" s="37"/>
      <c r="Y36" s="23"/>
      <c r="Z36" s="23"/>
      <c r="AA36" s="24"/>
      <c r="AB36" s="28"/>
      <c r="AC36" s="29"/>
      <c r="AD36" s="29"/>
      <c r="AE36" s="29"/>
      <c r="AF36" s="30"/>
      <c r="AG36" s="37"/>
      <c r="AH36" s="23"/>
      <c r="AI36" s="23"/>
      <c r="AJ36" s="24"/>
      <c r="AK36" s="28"/>
      <c r="AL36" s="29"/>
      <c r="AM36" s="29"/>
      <c r="AN36" s="29"/>
      <c r="AO36" s="30"/>
      <c r="AP36" s="37"/>
      <c r="AQ36" s="23"/>
      <c r="AR36" s="23"/>
      <c r="AS36" s="24"/>
      <c r="AT36" s="28"/>
      <c r="AU36" s="29"/>
      <c r="AV36" s="29"/>
      <c r="AW36" s="29"/>
      <c r="AX36" s="30"/>
      <c r="AY36" s="37"/>
      <c r="AZ36" s="23"/>
      <c r="BA36" s="23"/>
      <c r="BB36" s="24"/>
      <c r="BC36" s="28"/>
      <c r="BD36" s="29"/>
      <c r="BE36" s="29"/>
      <c r="BF36" s="29"/>
      <c r="BG36" s="30"/>
      <c r="BH36" s="37"/>
      <c r="BI36" s="23"/>
      <c r="BJ36" s="23"/>
      <c r="BK36" s="23"/>
      <c r="BL36" s="28"/>
      <c r="BM36" s="29"/>
      <c r="BN36" s="29"/>
      <c r="BO36" s="29"/>
      <c r="BP36" s="30"/>
      <c r="BQ36" s="23"/>
      <c r="BR36" s="23"/>
      <c r="BS36" s="23"/>
      <c r="BT36" s="24"/>
      <c r="BU36" s="114"/>
      <c r="BV36" s="115"/>
      <c r="BW36" s="115"/>
      <c r="BX36" s="115"/>
      <c r="BY36" s="115"/>
      <c r="BZ36" s="115"/>
      <c r="CA36" s="115"/>
      <c r="CB36" s="115"/>
      <c r="CC36" s="115"/>
      <c r="CD36" s="114"/>
      <c r="CE36" s="115"/>
      <c r="CF36" s="115"/>
      <c r="CG36" s="87"/>
      <c r="CH36" s="87"/>
      <c r="CI36" s="87"/>
      <c r="CJ36" s="87"/>
      <c r="CK36" s="87"/>
      <c r="CL36" s="87"/>
      <c r="CM36" s="73"/>
      <c r="CN36" s="71"/>
      <c r="CO36" s="71"/>
      <c r="CP36" s="71"/>
      <c r="CQ36" s="71"/>
      <c r="CR36" s="72"/>
      <c r="CZ36" s="17"/>
    </row>
    <row r="37" spans="1:104" ht="12.95" customHeight="1" thickBot="1" x14ac:dyDescent="0.2">
      <c r="A37" s="25" t="str">
        <f ca="1">VLOOKUP(8,list,22,FALSE)</f>
        <v/>
      </c>
      <c r="B37" s="26"/>
      <c r="C37" s="26"/>
      <c r="D37" s="26"/>
      <c r="E37" s="27"/>
      <c r="F37" s="36" t="str">
        <f ca="1">IF($AA$2="入れる",VLOOKUP(8,list,11,FALSE),"")</f>
        <v/>
      </c>
      <c r="G37" s="21"/>
      <c r="H37" s="21"/>
      <c r="I37" s="22"/>
      <c r="J37" s="25" t="str">
        <f ca="1">VLOOKUP(7,list,22,FALSE)</f>
        <v>験</v>
      </c>
      <c r="K37" s="26"/>
      <c r="L37" s="26"/>
      <c r="M37" s="26"/>
      <c r="N37" s="27"/>
      <c r="O37" s="36" t="str">
        <f ca="1">IF($AA$2="入れる",VLOOKUP(7,list,11,FALSE),"")</f>
        <v>けん</v>
      </c>
      <c r="P37" s="21"/>
      <c r="Q37" s="21"/>
      <c r="R37" s="22"/>
      <c r="S37" s="25" t="str">
        <f ca="1">VLOOKUP(6,list,22,FALSE)</f>
        <v>る</v>
      </c>
      <c r="T37" s="26"/>
      <c r="U37" s="26"/>
      <c r="V37" s="26"/>
      <c r="W37" s="27"/>
      <c r="X37" s="36" t="str">
        <f ca="1">IF($AA$2="入れる",VLOOKUP(6,list,11,FALSE),"")</f>
        <v/>
      </c>
      <c r="Y37" s="21"/>
      <c r="Z37" s="21"/>
      <c r="AA37" s="22"/>
      <c r="AB37" s="25" t="str">
        <f ca="1">VLOOKUP(5,list,22,FALSE)</f>
        <v>傾</v>
      </c>
      <c r="AC37" s="26"/>
      <c r="AD37" s="26"/>
      <c r="AE37" s="26"/>
      <c r="AF37" s="27"/>
      <c r="AG37" s="36" t="str">
        <f ca="1">IF($AA$2="入れる",VLOOKUP(5,list,11,FALSE),"")</f>
        <v>かたむ</v>
      </c>
      <c r="AH37" s="21"/>
      <c r="AI37" s="21"/>
      <c r="AJ37" s="22"/>
      <c r="AK37" s="25" t="str">
        <f ca="1">VLOOKUP(4,list,22,FALSE)</f>
        <v>す</v>
      </c>
      <c r="AL37" s="26"/>
      <c r="AM37" s="26"/>
      <c r="AN37" s="26"/>
      <c r="AO37" s="27"/>
      <c r="AP37" s="36" t="str">
        <f ca="1">IF($AA$2="入れる",VLOOKUP(4,list,11,FALSE),"")</f>
        <v/>
      </c>
      <c r="AQ37" s="21"/>
      <c r="AR37" s="21"/>
      <c r="AS37" s="22"/>
      <c r="AT37" s="25" t="str">
        <f ca="1">VLOOKUP(3,list,22,FALSE)</f>
        <v>乱</v>
      </c>
      <c r="AU37" s="26"/>
      <c r="AV37" s="26"/>
      <c r="AW37" s="26"/>
      <c r="AX37" s="27"/>
      <c r="AY37" s="36" t="str">
        <f ca="1">IF($AA$2="入れる",VLOOKUP(3,list,11,FALSE),"")</f>
        <v>らん</v>
      </c>
      <c r="AZ37" s="21"/>
      <c r="BA37" s="21"/>
      <c r="BB37" s="22"/>
      <c r="BC37" s="25" t="str">
        <f ca="1">VLOOKUP(2,list,22,FALSE)</f>
        <v>え</v>
      </c>
      <c r="BD37" s="26"/>
      <c r="BE37" s="26"/>
      <c r="BF37" s="26"/>
      <c r="BG37" s="27"/>
      <c r="BH37" s="36" t="str">
        <f ca="1">IF($AA$2="入れる",VLOOKUP(2,list,11,FALSE),"")</f>
        <v/>
      </c>
      <c r="BI37" s="21"/>
      <c r="BJ37" s="21"/>
      <c r="BK37" s="21"/>
      <c r="BL37" s="25" t="str">
        <f ca="1">VLOOKUP(1,list,22,FALSE)</f>
        <v>友</v>
      </c>
      <c r="BM37" s="26"/>
      <c r="BN37" s="26"/>
      <c r="BO37" s="26"/>
      <c r="BP37" s="27"/>
      <c r="BQ37" s="21" t="str">
        <f ca="1">IF($AA$2="入れる",VLOOKUP(1,list,11,FALSE),"")</f>
        <v>ゆう</v>
      </c>
      <c r="BR37" s="21"/>
      <c r="BS37" s="21"/>
      <c r="BT37" s="22"/>
      <c r="BU37" s="114"/>
      <c r="BV37" s="115"/>
      <c r="BW37" s="115"/>
      <c r="BX37" s="115"/>
      <c r="BY37" s="115"/>
      <c r="BZ37" s="115"/>
      <c r="CA37" s="115"/>
      <c r="CB37" s="115"/>
      <c r="CC37" s="115"/>
      <c r="CD37" s="114"/>
      <c r="CE37" s="115"/>
      <c r="CF37" s="115"/>
      <c r="CG37" s="87"/>
      <c r="CH37" s="87"/>
      <c r="CI37" s="87"/>
      <c r="CJ37" s="87"/>
      <c r="CK37" s="87"/>
      <c r="CL37" s="87"/>
      <c r="CM37" s="73"/>
      <c r="CN37" s="71"/>
      <c r="CO37" s="71"/>
      <c r="CP37" s="71"/>
      <c r="CQ37" s="71"/>
      <c r="CR37" s="72"/>
      <c r="CZ37" s="19"/>
    </row>
    <row r="38" spans="1:104" ht="12.95" customHeight="1" thickBot="1" x14ac:dyDescent="0.2">
      <c r="A38" s="28"/>
      <c r="B38" s="29"/>
      <c r="C38" s="29"/>
      <c r="D38" s="29"/>
      <c r="E38" s="30"/>
      <c r="F38" s="37"/>
      <c r="G38" s="23"/>
      <c r="H38" s="23"/>
      <c r="I38" s="24"/>
      <c r="J38" s="28"/>
      <c r="K38" s="29"/>
      <c r="L38" s="29"/>
      <c r="M38" s="29"/>
      <c r="N38" s="30"/>
      <c r="O38" s="37"/>
      <c r="P38" s="23"/>
      <c r="Q38" s="23"/>
      <c r="R38" s="24"/>
      <c r="S38" s="28"/>
      <c r="T38" s="29"/>
      <c r="U38" s="29"/>
      <c r="V38" s="29"/>
      <c r="W38" s="30"/>
      <c r="X38" s="37"/>
      <c r="Y38" s="23"/>
      <c r="Z38" s="23"/>
      <c r="AA38" s="24"/>
      <c r="AB38" s="28"/>
      <c r="AC38" s="29"/>
      <c r="AD38" s="29"/>
      <c r="AE38" s="29"/>
      <c r="AF38" s="30"/>
      <c r="AG38" s="37"/>
      <c r="AH38" s="23"/>
      <c r="AI38" s="23"/>
      <c r="AJ38" s="24"/>
      <c r="AK38" s="28"/>
      <c r="AL38" s="29"/>
      <c r="AM38" s="29"/>
      <c r="AN38" s="29"/>
      <c r="AO38" s="30"/>
      <c r="AP38" s="37"/>
      <c r="AQ38" s="23"/>
      <c r="AR38" s="23"/>
      <c r="AS38" s="24"/>
      <c r="AT38" s="28"/>
      <c r="AU38" s="29"/>
      <c r="AV38" s="29"/>
      <c r="AW38" s="29"/>
      <c r="AX38" s="30"/>
      <c r="AY38" s="37"/>
      <c r="AZ38" s="23"/>
      <c r="BA38" s="23"/>
      <c r="BB38" s="24"/>
      <c r="BC38" s="28"/>
      <c r="BD38" s="29"/>
      <c r="BE38" s="29"/>
      <c r="BF38" s="29"/>
      <c r="BG38" s="30"/>
      <c r="BH38" s="37"/>
      <c r="BI38" s="23"/>
      <c r="BJ38" s="23"/>
      <c r="BK38" s="23"/>
      <c r="BL38" s="28"/>
      <c r="BM38" s="29"/>
      <c r="BN38" s="29"/>
      <c r="BO38" s="29"/>
      <c r="BP38" s="30"/>
      <c r="BQ38" s="23"/>
      <c r="BR38" s="23"/>
      <c r="BS38" s="23"/>
      <c r="BT38" s="24"/>
      <c r="BU38" s="112" t="str">
        <f ca="1">VLOOKUP(8,yomi,2,FALSE)</f>
        <v>忍耐</v>
      </c>
      <c r="BV38" s="113"/>
      <c r="BW38" s="113"/>
      <c r="BX38" s="116"/>
      <c r="BY38" s="113"/>
      <c r="BZ38" s="113"/>
      <c r="CA38" s="113"/>
      <c r="CB38" s="113"/>
      <c r="CC38" s="113"/>
      <c r="CD38" s="112" t="str">
        <f ca="1">VLOOKUP(4,yomi,2,FALSE)</f>
        <v>椅子</v>
      </c>
      <c r="CE38" s="113"/>
      <c r="CF38" s="113"/>
      <c r="CG38" s="88"/>
      <c r="CH38" s="86"/>
      <c r="CI38" s="86"/>
      <c r="CJ38" s="86"/>
      <c r="CK38" s="86"/>
      <c r="CL38" s="86"/>
      <c r="CM38" s="73"/>
      <c r="CN38" s="71"/>
      <c r="CO38" s="71"/>
      <c r="CP38" s="71"/>
      <c r="CQ38" s="71"/>
      <c r="CR38" s="72"/>
      <c r="CZ38" s="19"/>
    </row>
    <row r="39" spans="1:104" ht="12.95" customHeight="1" thickBot="1" x14ac:dyDescent="0.2">
      <c r="A39" s="28"/>
      <c r="B39" s="29"/>
      <c r="C39" s="29"/>
      <c r="D39" s="29"/>
      <c r="E39" s="30"/>
      <c r="F39" s="37"/>
      <c r="G39" s="23"/>
      <c r="H39" s="23"/>
      <c r="I39" s="24"/>
      <c r="J39" s="28"/>
      <c r="K39" s="29"/>
      <c r="L39" s="29"/>
      <c r="M39" s="29"/>
      <c r="N39" s="30"/>
      <c r="O39" s="37"/>
      <c r="P39" s="23"/>
      <c r="Q39" s="23"/>
      <c r="R39" s="24"/>
      <c r="S39" s="28"/>
      <c r="T39" s="29"/>
      <c r="U39" s="29"/>
      <c r="V39" s="29"/>
      <c r="W39" s="30"/>
      <c r="X39" s="37"/>
      <c r="Y39" s="23"/>
      <c r="Z39" s="23"/>
      <c r="AA39" s="24"/>
      <c r="AB39" s="28"/>
      <c r="AC39" s="29"/>
      <c r="AD39" s="29"/>
      <c r="AE39" s="29"/>
      <c r="AF39" s="30"/>
      <c r="AG39" s="37"/>
      <c r="AH39" s="23"/>
      <c r="AI39" s="23"/>
      <c r="AJ39" s="24"/>
      <c r="AK39" s="28"/>
      <c r="AL39" s="29"/>
      <c r="AM39" s="29"/>
      <c r="AN39" s="29"/>
      <c r="AO39" s="30"/>
      <c r="AP39" s="37"/>
      <c r="AQ39" s="23"/>
      <c r="AR39" s="23"/>
      <c r="AS39" s="24"/>
      <c r="AT39" s="28"/>
      <c r="AU39" s="29"/>
      <c r="AV39" s="29"/>
      <c r="AW39" s="29"/>
      <c r="AX39" s="30"/>
      <c r="AY39" s="37"/>
      <c r="AZ39" s="23"/>
      <c r="BA39" s="23"/>
      <c r="BB39" s="24"/>
      <c r="BC39" s="28"/>
      <c r="BD39" s="29"/>
      <c r="BE39" s="29"/>
      <c r="BF39" s="29"/>
      <c r="BG39" s="30"/>
      <c r="BH39" s="37"/>
      <c r="BI39" s="23"/>
      <c r="BJ39" s="23"/>
      <c r="BK39" s="23"/>
      <c r="BL39" s="28"/>
      <c r="BM39" s="29"/>
      <c r="BN39" s="29"/>
      <c r="BO39" s="29"/>
      <c r="BP39" s="30"/>
      <c r="BQ39" s="23"/>
      <c r="BR39" s="23"/>
      <c r="BS39" s="23"/>
      <c r="BT39" s="24"/>
      <c r="BU39" s="114"/>
      <c r="BV39" s="115"/>
      <c r="BW39" s="115"/>
      <c r="BX39" s="115"/>
      <c r="BY39" s="115"/>
      <c r="BZ39" s="115"/>
      <c r="CA39" s="115"/>
      <c r="CB39" s="115"/>
      <c r="CC39" s="115"/>
      <c r="CD39" s="114"/>
      <c r="CE39" s="115"/>
      <c r="CF39" s="115"/>
      <c r="CG39" s="87"/>
      <c r="CH39" s="87"/>
      <c r="CI39" s="87"/>
      <c r="CJ39" s="87"/>
      <c r="CK39" s="87"/>
      <c r="CL39" s="87"/>
      <c r="CM39" s="73"/>
      <c r="CN39" s="71"/>
      <c r="CO39" s="71"/>
      <c r="CP39" s="71"/>
      <c r="CQ39" s="71"/>
      <c r="CR39" s="72"/>
      <c r="CZ39" s="19"/>
    </row>
    <row r="40" spans="1:104" ht="12.95" customHeight="1" thickBot="1" x14ac:dyDescent="0.2">
      <c r="A40" s="28"/>
      <c r="B40" s="29"/>
      <c r="C40" s="29"/>
      <c r="D40" s="29"/>
      <c r="E40" s="30"/>
      <c r="F40" s="37"/>
      <c r="G40" s="23"/>
      <c r="H40" s="23"/>
      <c r="I40" s="24"/>
      <c r="J40" s="28"/>
      <c r="K40" s="29"/>
      <c r="L40" s="29"/>
      <c r="M40" s="29"/>
      <c r="N40" s="30"/>
      <c r="O40" s="37"/>
      <c r="P40" s="23"/>
      <c r="Q40" s="23"/>
      <c r="R40" s="24"/>
      <c r="S40" s="28"/>
      <c r="T40" s="29"/>
      <c r="U40" s="29"/>
      <c r="V40" s="29"/>
      <c r="W40" s="30"/>
      <c r="X40" s="37"/>
      <c r="Y40" s="23"/>
      <c r="Z40" s="23"/>
      <c r="AA40" s="24"/>
      <c r="AB40" s="28"/>
      <c r="AC40" s="29"/>
      <c r="AD40" s="29"/>
      <c r="AE40" s="29"/>
      <c r="AF40" s="30"/>
      <c r="AG40" s="37"/>
      <c r="AH40" s="23"/>
      <c r="AI40" s="23"/>
      <c r="AJ40" s="24"/>
      <c r="AK40" s="28"/>
      <c r="AL40" s="29"/>
      <c r="AM40" s="29"/>
      <c r="AN40" s="29"/>
      <c r="AO40" s="30"/>
      <c r="AP40" s="37"/>
      <c r="AQ40" s="23"/>
      <c r="AR40" s="23"/>
      <c r="AS40" s="24"/>
      <c r="AT40" s="28"/>
      <c r="AU40" s="29"/>
      <c r="AV40" s="29"/>
      <c r="AW40" s="29"/>
      <c r="AX40" s="30"/>
      <c r="AY40" s="37"/>
      <c r="AZ40" s="23"/>
      <c r="BA40" s="23"/>
      <c r="BB40" s="24"/>
      <c r="BC40" s="28"/>
      <c r="BD40" s="29"/>
      <c r="BE40" s="29"/>
      <c r="BF40" s="29"/>
      <c r="BG40" s="30"/>
      <c r="BH40" s="37"/>
      <c r="BI40" s="23"/>
      <c r="BJ40" s="23"/>
      <c r="BK40" s="23"/>
      <c r="BL40" s="28"/>
      <c r="BM40" s="29"/>
      <c r="BN40" s="29"/>
      <c r="BO40" s="29"/>
      <c r="BP40" s="30"/>
      <c r="BQ40" s="23"/>
      <c r="BR40" s="23"/>
      <c r="BS40" s="23"/>
      <c r="BT40" s="24"/>
      <c r="BU40" s="114"/>
      <c r="BV40" s="115"/>
      <c r="BW40" s="115"/>
      <c r="BX40" s="115"/>
      <c r="BY40" s="115"/>
      <c r="BZ40" s="115"/>
      <c r="CA40" s="115"/>
      <c r="CB40" s="115"/>
      <c r="CC40" s="115"/>
      <c r="CD40" s="114"/>
      <c r="CE40" s="115"/>
      <c r="CF40" s="115"/>
      <c r="CG40" s="87"/>
      <c r="CH40" s="87"/>
      <c r="CI40" s="87"/>
      <c r="CJ40" s="87"/>
      <c r="CK40" s="87"/>
      <c r="CL40" s="87"/>
      <c r="CM40" s="73"/>
      <c r="CN40" s="71"/>
      <c r="CO40" s="71"/>
      <c r="CP40" s="71"/>
      <c r="CQ40" s="71"/>
      <c r="CR40" s="72"/>
      <c r="CZ40" s="19"/>
    </row>
    <row r="41" spans="1:104" ht="12.95" customHeight="1" thickBot="1" x14ac:dyDescent="0.2">
      <c r="A41" s="25" t="str">
        <f ca="1">VLOOKUP(8,list,23,FALSE)</f>
        <v/>
      </c>
      <c r="B41" s="26"/>
      <c r="C41" s="26"/>
      <c r="D41" s="26"/>
      <c r="E41" s="27"/>
      <c r="F41" s="36" t="str">
        <f ca="1">IF($AA$2="入れる",VLOOKUP(8,list,12,FALSE),"")</f>
        <v/>
      </c>
      <c r="G41" s="21"/>
      <c r="H41" s="21"/>
      <c r="I41" s="22"/>
      <c r="J41" s="25" t="str">
        <f ca="1">VLOOKUP(7,list,23,FALSE)</f>
        <v/>
      </c>
      <c r="K41" s="26"/>
      <c r="L41" s="26"/>
      <c r="M41" s="26"/>
      <c r="N41" s="27"/>
      <c r="O41" s="36" t="str">
        <f ca="1">IF($AA$2="入れる",VLOOKUP(7,list,12,FALSE),"")</f>
        <v/>
      </c>
      <c r="P41" s="21"/>
      <c r="Q41" s="21"/>
      <c r="R41" s="22"/>
      <c r="S41" s="25" t="str">
        <f ca="1">VLOOKUP(6,list,23,FALSE)</f>
        <v/>
      </c>
      <c r="T41" s="26"/>
      <c r="U41" s="26"/>
      <c r="V41" s="26"/>
      <c r="W41" s="27"/>
      <c r="X41" s="36" t="str">
        <f ca="1">IF($AA$2="入れる",VLOOKUP(6,list,12,FALSE),"")</f>
        <v/>
      </c>
      <c r="Y41" s="21"/>
      <c r="Z41" s="21"/>
      <c r="AA41" s="22"/>
      <c r="AB41" s="25" t="str">
        <f ca="1">VLOOKUP(5,list,23,FALSE)</f>
        <v>け</v>
      </c>
      <c r="AC41" s="26"/>
      <c r="AD41" s="26"/>
      <c r="AE41" s="26"/>
      <c r="AF41" s="27"/>
      <c r="AG41" s="36" t="str">
        <f ca="1">IF($AA$2="入れる",VLOOKUP(5,list,12,FALSE),"")</f>
        <v/>
      </c>
      <c r="AH41" s="21"/>
      <c r="AI41" s="21"/>
      <c r="AJ41" s="22"/>
      <c r="AK41" s="25" t="str">
        <f ca="1">VLOOKUP(4,list,23,FALSE)</f>
        <v>る</v>
      </c>
      <c r="AL41" s="26"/>
      <c r="AM41" s="26"/>
      <c r="AN41" s="26"/>
      <c r="AO41" s="27"/>
      <c r="AP41" s="36" t="str">
        <f ca="1">IF($AA$2="入れる",VLOOKUP(4,list,12,FALSE),"")</f>
        <v/>
      </c>
      <c r="AQ41" s="21"/>
      <c r="AR41" s="21"/>
      <c r="AS41" s="22"/>
      <c r="AT41" s="25" t="str">
        <f ca="1">VLOOKUP(3,list,23,FALSE)</f>
        <v>す</v>
      </c>
      <c r="AU41" s="26"/>
      <c r="AV41" s="26"/>
      <c r="AW41" s="26"/>
      <c r="AX41" s="27"/>
      <c r="AY41" s="36" t="str">
        <f ca="1">IF($AA$2="入れる",VLOOKUP(3,list,12,FALSE),"")</f>
        <v/>
      </c>
      <c r="AZ41" s="21"/>
      <c r="BA41" s="21"/>
      <c r="BB41" s="22"/>
      <c r="BC41" s="25" t="str">
        <f ca="1">VLOOKUP(2,list,23,FALSE)</f>
        <v>込</v>
      </c>
      <c r="BD41" s="26"/>
      <c r="BE41" s="26"/>
      <c r="BF41" s="26"/>
      <c r="BG41" s="27"/>
      <c r="BH41" s="36" t="str">
        <f ca="1">IF($AA$2="入れる",VLOOKUP(2,list,12,FALSE),"")</f>
        <v>こ</v>
      </c>
      <c r="BI41" s="21"/>
      <c r="BJ41" s="21"/>
      <c r="BK41" s="21"/>
      <c r="BL41" s="25" t="str">
        <f ca="1">VLOOKUP(1,list,23,FALSE)</f>
        <v>人</v>
      </c>
      <c r="BM41" s="26"/>
      <c r="BN41" s="26"/>
      <c r="BO41" s="26"/>
      <c r="BP41" s="27"/>
      <c r="BQ41" s="21" t="str">
        <f ca="1">IF($AA$2="入れる",VLOOKUP(1,list,12,FALSE),"")</f>
        <v>じん</v>
      </c>
      <c r="BR41" s="21"/>
      <c r="BS41" s="21"/>
      <c r="BT41" s="22"/>
      <c r="BU41" s="114"/>
      <c r="BV41" s="115"/>
      <c r="BW41" s="115"/>
      <c r="BX41" s="115"/>
      <c r="BY41" s="115"/>
      <c r="BZ41" s="115"/>
      <c r="CA41" s="115"/>
      <c r="CB41" s="115"/>
      <c r="CC41" s="115"/>
      <c r="CD41" s="114"/>
      <c r="CE41" s="115"/>
      <c r="CF41" s="115"/>
      <c r="CG41" s="87"/>
      <c r="CH41" s="87"/>
      <c r="CI41" s="87"/>
      <c r="CJ41" s="87"/>
      <c r="CK41" s="87"/>
      <c r="CL41" s="87"/>
      <c r="CM41" s="73"/>
      <c r="CN41" s="71"/>
      <c r="CO41" s="71"/>
      <c r="CP41" s="71"/>
      <c r="CQ41" s="71"/>
      <c r="CR41" s="72"/>
      <c r="CZ41" s="19"/>
    </row>
    <row r="42" spans="1:104" ht="12.95" customHeight="1" thickBot="1" x14ac:dyDescent="0.2">
      <c r="A42" s="28"/>
      <c r="B42" s="29"/>
      <c r="C42" s="29"/>
      <c r="D42" s="29"/>
      <c r="E42" s="30"/>
      <c r="F42" s="37"/>
      <c r="G42" s="23"/>
      <c r="H42" s="23"/>
      <c r="I42" s="24"/>
      <c r="J42" s="28"/>
      <c r="K42" s="29"/>
      <c r="L42" s="29"/>
      <c r="M42" s="29"/>
      <c r="N42" s="30"/>
      <c r="O42" s="37"/>
      <c r="P42" s="23"/>
      <c r="Q42" s="23"/>
      <c r="R42" s="24"/>
      <c r="S42" s="28"/>
      <c r="T42" s="29"/>
      <c r="U42" s="29"/>
      <c r="V42" s="29"/>
      <c r="W42" s="30"/>
      <c r="X42" s="37"/>
      <c r="Y42" s="23"/>
      <c r="Z42" s="23"/>
      <c r="AA42" s="24"/>
      <c r="AB42" s="28"/>
      <c r="AC42" s="29"/>
      <c r="AD42" s="29"/>
      <c r="AE42" s="29"/>
      <c r="AF42" s="30"/>
      <c r="AG42" s="37"/>
      <c r="AH42" s="23"/>
      <c r="AI42" s="23"/>
      <c r="AJ42" s="24"/>
      <c r="AK42" s="28"/>
      <c r="AL42" s="29"/>
      <c r="AM42" s="29"/>
      <c r="AN42" s="29"/>
      <c r="AO42" s="30"/>
      <c r="AP42" s="37"/>
      <c r="AQ42" s="23"/>
      <c r="AR42" s="23"/>
      <c r="AS42" s="24"/>
      <c r="AT42" s="28"/>
      <c r="AU42" s="29"/>
      <c r="AV42" s="29"/>
      <c r="AW42" s="29"/>
      <c r="AX42" s="30"/>
      <c r="AY42" s="37"/>
      <c r="AZ42" s="23"/>
      <c r="BA42" s="23"/>
      <c r="BB42" s="24"/>
      <c r="BC42" s="28"/>
      <c r="BD42" s="29"/>
      <c r="BE42" s="29"/>
      <c r="BF42" s="29"/>
      <c r="BG42" s="30"/>
      <c r="BH42" s="37"/>
      <c r="BI42" s="23"/>
      <c r="BJ42" s="23"/>
      <c r="BK42" s="23"/>
      <c r="BL42" s="28"/>
      <c r="BM42" s="29"/>
      <c r="BN42" s="29"/>
      <c r="BO42" s="29"/>
      <c r="BP42" s="30"/>
      <c r="BQ42" s="23"/>
      <c r="BR42" s="23"/>
      <c r="BS42" s="23"/>
      <c r="BT42" s="24"/>
      <c r="BU42" s="114"/>
      <c r="BV42" s="115"/>
      <c r="BW42" s="115"/>
      <c r="BX42" s="115"/>
      <c r="BY42" s="115"/>
      <c r="BZ42" s="115"/>
      <c r="CA42" s="115"/>
      <c r="CB42" s="115"/>
      <c r="CC42" s="115"/>
      <c r="CD42" s="114"/>
      <c r="CE42" s="115"/>
      <c r="CF42" s="115"/>
      <c r="CG42" s="87"/>
      <c r="CH42" s="87"/>
      <c r="CI42" s="87"/>
      <c r="CJ42" s="87"/>
      <c r="CK42" s="87"/>
      <c r="CL42" s="87"/>
      <c r="CM42" s="73"/>
      <c r="CN42" s="71"/>
      <c r="CO42" s="71"/>
      <c r="CP42" s="71"/>
      <c r="CQ42" s="71"/>
      <c r="CR42" s="72"/>
      <c r="CZ42" s="19"/>
    </row>
    <row r="43" spans="1:104" ht="12.95" customHeight="1" thickBot="1" x14ac:dyDescent="0.2">
      <c r="A43" s="28"/>
      <c r="B43" s="29"/>
      <c r="C43" s="29"/>
      <c r="D43" s="29"/>
      <c r="E43" s="30"/>
      <c r="F43" s="37"/>
      <c r="G43" s="23"/>
      <c r="H43" s="23"/>
      <c r="I43" s="24"/>
      <c r="J43" s="28"/>
      <c r="K43" s="29"/>
      <c r="L43" s="29"/>
      <c r="M43" s="29"/>
      <c r="N43" s="30"/>
      <c r="O43" s="37"/>
      <c r="P43" s="23"/>
      <c r="Q43" s="23"/>
      <c r="R43" s="24"/>
      <c r="S43" s="28"/>
      <c r="T43" s="29"/>
      <c r="U43" s="29"/>
      <c r="V43" s="29"/>
      <c r="W43" s="30"/>
      <c r="X43" s="37"/>
      <c r="Y43" s="23"/>
      <c r="Z43" s="23"/>
      <c r="AA43" s="24"/>
      <c r="AB43" s="28"/>
      <c r="AC43" s="29"/>
      <c r="AD43" s="29"/>
      <c r="AE43" s="29"/>
      <c r="AF43" s="30"/>
      <c r="AG43" s="37"/>
      <c r="AH43" s="23"/>
      <c r="AI43" s="23"/>
      <c r="AJ43" s="24"/>
      <c r="AK43" s="28"/>
      <c r="AL43" s="29"/>
      <c r="AM43" s="29"/>
      <c r="AN43" s="29"/>
      <c r="AO43" s="30"/>
      <c r="AP43" s="37"/>
      <c r="AQ43" s="23"/>
      <c r="AR43" s="23"/>
      <c r="AS43" s="24"/>
      <c r="AT43" s="28"/>
      <c r="AU43" s="29"/>
      <c r="AV43" s="29"/>
      <c r="AW43" s="29"/>
      <c r="AX43" s="30"/>
      <c r="AY43" s="37"/>
      <c r="AZ43" s="23"/>
      <c r="BA43" s="23"/>
      <c r="BB43" s="24"/>
      <c r="BC43" s="28"/>
      <c r="BD43" s="29"/>
      <c r="BE43" s="29"/>
      <c r="BF43" s="29"/>
      <c r="BG43" s="30"/>
      <c r="BH43" s="37"/>
      <c r="BI43" s="23"/>
      <c r="BJ43" s="23"/>
      <c r="BK43" s="23"/>
      <c r="BL43" s="28"/>
      <c r="BM43" s="29"/>
      <c r="BN43" s="29"/>
      <c r="BO43" s="29"/>
      <c r="BP43" s="30"/>
      <c r="BQ43" s="23"/>
      <c r="BR43" s="23"/>
      <c r="BS43" s="23"/>
      <c r="BT43" s="24"/>
      <c r="BU43" s="114"/>
      <c r="BV43" s="115"/>
      <c r="BW43" s="115"/>
      <c r="BX43" s="115"/>
      <c r="BY43" s="115"/>
      <c r="BZ43" s="115"/>
      <c r="CA43" s="115"/>
      <c r="CB43" s="115"/>
      <c r="CC43" s="115"/>
      <c r="CD43" s="114"/>
      <c r="CE43" s="115"/>
      <c r="CF43" s="115"/>
      <c r="CG43" s="87"/>
      <c r="CH43" s="87"/>
      <c r="CI43" s="87"/>
      <c r="CJ43" s="87"/>
      <c r="CK43" s="87"/>
      <c r="CL43" s="87"/>
      <c r="CM43" s="73"/>
      <c r="CN43" s="71"/>
      <c r="CO43" s="71"/>
      <c r="CP43" s="71"/>
      <c r="CQ43" s="71"/>
      <c r="CR43" s="72"/>
      <c r="CZ43" s="19"/>
    </row>
    <row r="44" spans="1:104" ht="12.95" customHeight="1" thickBot="1" x14ac:dyDescent="0.2">
      <c r="A44" s="28"/>
      <c r="B44" s="29"/>
      <c r="C44" s="29"/>
      <c r="D44" s="29"/>
      <c r="E44" s="30"/>
      <c r="F44" s="37"/>
      <c r="G44" s="23"/>
      <c r="H44" s="23"/>
      <c r="I44" s="24"/>
      <c r="J44" s="28"/>
      <c r="K44" s="29"/>
      <c r="L44" s="29"/>
      <c r="M44" s="29"/>
      <c r="N44" s="30"/>
      <c r="O44" s="37"/>
      <c r="P44" s="23"/>
      <c r="Q44" s="23"/>
      <c r="R44" s="24"/>
      <c r="S44" s="28"/>
      <c r="T44" s="29"/>
      <c r="U44" s="29"/>
      <c r="V44" s="29"/>
      <c r="W44" s="30"/>
      <c r="X44" s="37"/>
      <c r="Y44" s="23"/>
      <c r="Z44" s="23"/>
      <c r="AA44" s="24"/>
      <c r="AB44" s="28"/>
      <c r="AC44" s="29"/>
      <c r="AD44" s="29"/>
      <c r="AE44" s="29"/>
      <c r="AF44" s="30"/>
      <c r="AG44" s="37"/>
      <c r="AH44" s="23"/>
      <c r="AI44" s="23"/>
      <c r="AJ44" s="24"/>
      <c r="AK44" s="28"/>
      <c r="AL44" s="29"/>
      <c r="AM44" s="29"/>
      <c r="AN44" s="29"/>
      <c r="AO44" s="30"/>
      <c r="AP44" s="37"/>
      <c r="AQ44" s="23"/>
      <c r="AR44" s="23"/>
      <c r="AS44" s="24"/>
      <c r="AT44" s="28"/>
      <c r="AU44" s="29"/>
      <c r="AV44" s="29"/>
      <c r="AW44" s="29"/>
      <c r="AX44" s="30"/>
      <c r="AY44" s="37"/>
      <c r="AZ44" s="23"/>
      <c r="BA44" s="23"/>
      <c r="BB44" s="24"/>
      <c r="BC44" s="28"/>
      <c r="BD44" s="29"/>
      <c r="BE44" s="29"/>
      <c r="BF44" s="29"/>
      <c r="BG44" s="30"/>
      <c r="BH44" s="37"/>
      <c r="BI44" s="23"/>
      <c r="BJ44" s="23"/>
      <c r="BK44" s="23"/>
      <c r="BL44" s="28"/>
      <c r="BM44" s="29"/>
      <c r="BN44" s="29"/>
      <c r="BO44" s="29"/>
      <c r="BP44" s="30"/>
      <c r="BQ44" s="23"/>
      <c r="BR44" s="23"/>
      <c r="BS44" s="23"/>
      <c r="BT44" s="24"/>
      <c r="BU44" s="114"/>
      <c r="BV44" s="115"/>
      <c r="BW44" s="115"/>
      <c r="BX44" s="115"/>
      <c r="BY44" s="115"/>
      <c r="BZ44" s="115"/>
      <c r="CA44" s="115"/>
      <c r="CB44" s="115"/>
      <c r="CC44" s="115"/>
      <c r="CD44" s="114"/>
      <c r="CE44" s="115"/>
      <c r="CF44" s="115"/>
      <c r="CG44" s="87"/>
      <c r="CH44" s="87"/>
      <c r="CI44" s="87"/>
      <c r="CJ44" s="87"/>
      <c r="CK44" s="87"/>
      <c r="CL44" s="87"/>
      <c r="CM44" s="73"/>
      <c r="CN44" s="71"/>
      <c r="CO44" s="71"/>
      <c r="CP44" s="71"/>
      <c r="CQ44" s="71"/>
      <c r="CR44" s="72"/>
      <c r="CZ44" s="19"/>
    </row>
    <row r="45" spans="1:104" ht="12.95" customHeight="1" thickBot="1" x14ac:dyDescent="0.2">
      <c r="A45" s="25" t="str">
        <f ca="1">VLOOKUP(8,list,24,FALSE)</f>
        <v/>
      </c>
      <c r="B45" s="26"/>
      <c r="C45" s="26"/>
      <c r="D45" s="26"/>
      <c r="E45" s="27"/>
      <c r="F45" s="21" t="str">
        <f ca="1">IF($AA$2="入れる",VLOOKUP(8,list,13,FALSE),"")</f>
        <v/>
      </c>
      <c r="G45" s="21"/>
      <c r="H45" s="21"/>
      <c r="I45" s="21"/>
      <c r="J45" s="25" t="str">
        <f ca="1">VLOOKUP(7,list,24,FALSE)</f>
        <v/>
      </c>
      <c r="K45" s="26"/>
      <c r="L45" s="26"/>
      <c r="M45" s="26"/>
      <c r="N45" s="27"/>
      <c r="O45" s="21" t="str">
        <f ca="1">IF($AA$2="入れる",VLOOKUP(7,list,13,FALSE),"")</f>
        <v/>
      </c>
      <c r="P45" s="21"/>
      <c r="Q45" s="21"/>
      <c r="R45" s="21"/>
      <c r="S45" s="25" t="str">
        <f ca="1">VLOOKUP(6,list,24,FALSE)</f>
        <v/>
      </c>
      <c r="T45" s="26"/>
      <c r="U45" s="26"/>
      <c r="V45" s="26"/>
      <c r="W45" s="27"/>
      <c r="X45" s="21" t="str">
        <f ca="1">IF($AA$2="入れる",VLOOKUP(6,list,13,FALSE),"")</f>
        <v/>
      </c>
      <c r="Y45" s="21"/>
      <c r="Z45" s="21"/>
      <c r="AA45" s="21"/>
      <c r="AB45" s="25" t="str">
        <f ca="1">VLOOKUP(5,list,24,FALSE)</f>
        <v>る</v>
      </c>
      <c r="AC45" s="26"/>
      <c r="AD45" s="26"/>
      <c r="AE45" s="26"/>
      <c r="AF45" s="27"/>
      <c r="AG45" s="21" t="str">
        <f ca="1">IF($AA$2="入れる",VLOOKUP(5,list,13,FALSE),"")</f>
        <v/>
      </c>
      <c r="AH45" s="21"/>
      <c r="AI45" s="21"/>
      <c r="AJ45" s="21"/>
      <c r="AK45" s="25" t="str">
        <f ca="1">VLOOKUP(4,list,24,FALSE)</f>
        <v/>
      </c>
      <c r="AL45" s="26"/>
      <c r="AM45" s="26"/>
      <c r="AN45" s="26"/>
      <c r="AO45" s="27"/>
      <c r="AP45" s="21" t="str">
        <f ca="1">IF($AA$2="入れる",VLOOKUP(4,list,13,FALSE),"")</f>
        <v/>
      </c>
      <c r="AQ45" s="21"/>
      <c r="AR45" s="21"/>
      <c r="AS45" s="21"/>
      <c r="AT45" s="25" t="str">
        <f ca="1">VLOOKUP(3,list,24,FALSE)</f>
        <v>る</v>
      </c>
      <c r="AU45" s="26"/>
      <c r="AV45" s="26"/>
      <c r="AW45" s="26"/>
      <c r="AX45" s="27"/>
      <c r="AY45" s="21" t="str">
        <f ca="1">IF($AA$2="入れる",VLOOKUP(3,list,13,FALSE),"")</f>
        <v/>
      </c>
      <c r="AZ45" s="21"/>
      <c r="BA45" s="21"/>
      <c r="BB45" s="21"/>
      <c r="BC45" s="25" t="str">
        <f ca="1">VLOOKUP(2,list,24,FALSE)</f>
        <v>む</v>
      </c>
      <c r="BD45" s="26"/>
      <c r="BE45" s="26"/>
      <c r="BF45" s="26"/>
      <c r="BG45" s="27"/>
      <c r="BH45" s="21" t="str">
        <f ca="1">IF($AA$2="入れる",VLOOKUP(2,list,13,FALSE),"")</f>
        <v/>
      </c>
      <c r="BI45" s="21"/>
      <c r="BJ45" s="21"/>
      <c r="BK45" s="21"/>
      <c r="BL45" s="25" t="str">
        <f ca="1">VLOOKUP(1,list,24,FALSE)</f>
        <v/>
      </c>
      <c r="BM45" s="26"/>
      <c r="BN45" s="26"/>
      <c r="BO45" s="26"/>
      <c r="BP45" s="27"/>
      <c r="BQ45" s="21" t="str">
        <f ca="1">IF($AA$2="入れる",VLOOKUP(1,list,13,FALSE),"")</f>
        <v/>
      </c>
      <c r="BR45" s="21"/>
      <c r="BS45" s="21"/>
      <c r="BT45" s="21"/>
      <c r="BU45" s="114"/>
      <c r="BV45" s="115"/>
      <c r="BW45" s="115"/>
      <c r="BX45" s="115"/>
      <c r="BY45" s="115"/>
      <c r="BZ45" s="115"/>
      <c r="CA45" s="115"/>
      <c r="CB45" s="115"/>
      <c r="CC45" s="115"/>
      <c r="CD45" s="114"/>
      <c r="CE45" s="115"/>
      <c r="CF45" s="115"/>
      <c r="CG45" s="87"/>
      <c r="CH45" s="87"/>
      <c r="CI45" s="87"/>
      <c r="CJ45" s="87"/>
      <c r="CK45" s="87"/>
      <c r="CL45" s="87"/>
      <c r="CM45" s="57" t="s">
        <v>32</v>
      </c>
      <c r="CN45" s="58"/>
      <c r="CO45" s="58"/>
      <c r="CP45" s="59"/>
      <c r="CQ45" s="59"/>
      <c r="CR45" s="60"/>
      <c r="CZ45" s="19"/>
    </row>
    <row r="46" spans="1:104" ht="12.95" customHeight="1" thickBot="1" x14ac:dyDescent="0.2">
      <c r="A46" s="28"/>
      <c r="B46" s="29"/>
      <c r="C46" s="29"/>
      <c r="D46" s="29"/>
      <c r="E46" s="30"/>
      <c r="F46" s="23"/>
      <c r="G46" s="23"/>
      <c r="H46" s="23"/>
      <c r="I46" s="23"/>
      <c r="J46" s="28"/>
      <c r="K46" s="29"/>
      <c r="L46" s="29"/>
      <c r="M46" s="29"/>
      <c r="N46" s="30"/>
      <c r="O46" s="23"/>
      <c r="P46" s="23"/>
      <c r="Q46" s="23"/>
      <c r="R46" s="23"/>
      <c r="S46" s="28"/>
      <c r="T46" s="29"/>
      <c r="U46" s="29"/>
      <c r="V46" s="29"/>
      <c r="W46" s="30"/>
      <c r="X46" s="23"/>
      <c r="Y46" s="23"/>
      <c r="Z46" s="23"/>
      <c r="AA46" s="23"/>
      <c r="AB46" s="28"/>
      <c r="AC46" s="29"/>
      <c r="AD46" s="29"/>
      <c r="AE46" s="29"/>
      <c r="AF46" s="30"/>
      <c r="AG46" s="23"/>
      <c r="AH46" s="23"/>
      <c r="AI46" s="23"/>
      <c r="AJ46" s="23"/>
      <c r="AK46" s="28"/>
      <c r="AL46" s="29"/>
      <c r="AM46" s="29"/>
      <c r="AN46" s="29"/>
      <c r="AO46" s="30"/>
      <c r="AP46" s="23"/>
      <c r="AQ46" s="23"/>
      <c r="AR46" s="23"/>
      <c r="AS46" s="23"/>
      <c r="AT46" s="28"/>
      <c r="AU46" s="29"/>
      <c r="AV46" s="29"/>
      <c r="AW46" s="29"/>
      <c r="AX46" s="30"/>
      <c r="AY46" s="23"/>
      <c r="AZ46" s="23"/>
      <c r="BA46" s="23"/>
      <c r="BB46" s="23"/>
      <c r="BC46" s="28"/>
      <c r="BD46" s="29"/>
      <c r="BE46" s="29"/>
      <c r="BF46" s="29"/>
      <c r="BG46" s="30"/>
      <c r="BH46" s="23"/>
      <c r="BI46" s="23"/>
      <c r="BJ46" s="23"/>
      <c r="BK46" s="23"/>
      <c r="BL46" s="28"/>
      <c r="BM46" s="29"/>
      <c r="BN46" s="29"/>
      <c r="BO46" s="29"/>
      <c r="BP46" s="30"/>
      <c r="BQ46" s="23"/>
      <c r="BR46" s="23"/>
      <c r="BS46" s="23"/>
      <c r="BT46" s="23"/>
      <c r="BU46" s="114"/>
      <c r="BV46" s="115"/>
      <c r="BW46" s="115"/>
      <c r="BX46" s="115"/>
      <c r="BY46" s="115"/>
      <c r="BZ46" s="115"/>
      <c r="CA46" s="115"/>
      <c r="CB46" s="115"/>
      <c r="CC46" s="115"/>
      <c r="CD46" s="114"/>
      <c r="CE46" s="115"/>
      <c r="CF46" s="115"/>
      <c r="CG46" s="87"/>
      <c r="CH46" s="87"/>
      <c r="CI46" s="87"/>
      <c r="CJ46" s="87"/>
      <c r="CK46" s="87"/>
      <c r="CL46" s="87"/>
      <c r="CM46" s="61"/>
      <c r="CN46" s="59"/>
      <c r="CO46" s="59"/>
      <c r="CP46" s="59"/>
      <c r="CQ46" s="59"/>
      <c r="CR46" s="60"/>
      <c r="CZ46" s="19"/>
    </row>
    <row r="47" spans="1:104" ht="12.95" customHeight="1" thickBot="1" x14ac:dyDescent="0.2">
      <c r="A47" s="28"/>
      <c r="B47" s="29"/>
      <c r="C47" s="29"/>
      <c r="D47" s="29"/>
      <c r="E47" s="30"/>
      <c r="F47" s="23"/>
      <c r="G47" s="23"/>
      <c r="H47" s="23"/>
      <c r="I47" s="23"/>
      <c r="J47" s="28"/>
      <c r="K47" s="29"/>
      <c r="L47" s="29"/>
      <c r="M47" s="29"/>
      <c r="N47" s="30"/>
      <c r="O47" s="23"/>
      <c r="P47" s="23"/>
      <c r="Q47" s="23"/>
      <c r="R47" s="23"/>
      <c r="S47" s="28"/>
      <c r="T47" s="29"/>
      <c r="U47" s="29"/>
      <c r="V47" s="29"/>
      <c r="W47" s="30"/>
      <c r="X47" s="23"/>
      <c r="Y47" s="23"/>
      <c r="Z47" s="23"/>
      <c r="AA47" s="23"/>
      <c r="AB47" s="28"/>
      <c r="AC47" s="29"/>
      <c r="AD47" s="29"/>
      <c r="AE47" s="29"/>
      <c r="AF47" s="30"/>
      <c r="AG47" s="23"/>
      <c r="AH47" s="23"/>
      <c r="AI47" s="23"/>
      <c r="AJ47" s="23"/>
      <c r="AK47" s="28"/>
      <c r="AL47" s="29"/>
      <c r="AM47" s="29"/>
      <c r="AN47" s="29"/>
      <c r="AO47" s="30"/>
      <c r="AP47" s="23"/>
      <c r="AQ47" s="23"/>
      <c r="AR47" s="23"/>
      <c r="AS47" s="23"/>
      <c r="AT47" s="28"/>
      <c r="AU47" s="29"/>
      <c r="AV47" s="29"/>
      <c r="AW47" s="29"/>
      <c r="AX47" s="30"/>
      <c r="AY47" s="23"/>
      <c r="AZ47" s="23"/>
      <c r="BA47" s="23"/>
      <c r="BB47" s="23"/>
      <c r="BC47" s="28"/>
      <c r="BD47" s="29"/>
      <c r="BE47" s="29"/>
      <c r="BF47" s="29"/>
      <c r="BG47" s="30"/>
      <c r="BH47" s="23"/>
      <c r="BI47" s="23"/>
      <c r="BJ47" s="23"/>
      <c r="BK47" s="23"/>
      <c r="BL47" s="28"/>
      <c r="BM47" s="29"/>
      <c r="BN47" s="29"/>
      <c r="BO47" s="29"/>
      <c r="BP47" s="30"/>
      <c r="BQ47" s="23"/>
      <c r="BR47" s="23"/>
      <c r="BS47" s="23"/>
      <c r="BT47" s="23"/>
      <c r="BU47" s="114"/>
      <c r="BV47" s="115"/>
      <c r="BW47" s="115"/>
      <c r="BX47" s="115"/>
      <c r="BY47" s="115"/>
      <c r="BZ47" s="115"/>
      <c r="CA47" s="115"/>
      <c r="CB47" s="115"/>
      <c r="CC47" s="115"/>
      <c r="CD47" s="114"/>
      <c r="CE47" s="115"/>
      <c r="CF47" s="115"/>
      <c r="CG47" s="87"/>
      <c r="CH47" s="87"/>
      <c r="CI47" s="87"/>
      <c r="CJ47" s="87"/>
      <c r="CK47" s="87"/>
      <c r="CL47" s="87"/>
      <c r="CM47" s="61"/>
      <c r="CN47" s="59"/>
      <c r="CO47" s="59"/>
      <c r="CP47" s="59"/>
      <c r="CQ47" s="59"/>
      <c r="CR47" s="60"/>
      <c r="CZ47" s="19"/>
    </row>
    <row r="48" spans="1:104" ht="12.95" customHeight="1" thickBot="1" x14ac:dyDescent="0.2">
      <c r="A48" s="28"/>
      <c r="B48" s="29"/>
      <c r="C48" s="29"/>
      <c r="D48" s="29"/>
      <c r="E48" s="30"/>
      <c r="F48" s="23"/>
      <c r="G48" s="23"/>
      <c r="H48" s="23"/>
      <c r="I48" s="23"/>
      <c r="J48" s="28"/>
      <c r="K48" s="29"/>
      <c r="L48" s="29"/>
      <c r="M48" s="29"/>
      <c r="N48" s="30"/>
      <c r="O48" s="23"/>
      <c r="P48" s="23"/>
      <c r="Q48" s="23"/>
      <c r="R48" s="23"/>
      <c r="S48" s="28"/>
      <c r="T48" s="29"/>
      <c r="U48" s="29"/>
      <c r="V48" s="29"/>
      <c r="W48" s="30"/>
      <c r="X48" s="23"/>
      <c r="Y48" s="23"/>
      <c r="Z48" s="23"/>
      <c r="AA48" s="23"/>
      <c r="AB48" s="28"/>
      <c r="AC48" s="29"/>
      <c r="AD48" s="29"/>
      <c r="AE48" s="29"/>
      <c r="AF48" s="30"/>
      <c r="AG48" s="23"/>
      <c r="AH48" s="23"/>
      <c r="AI48" s="23"/>
      <c r="AJ48" s="23"/>
      <c r="AK48" s="28"/>
      <c r="AL48" s="29"/>
      <c r="AM48" s="29"/>
      <c r="AN48" s="29"/>
      <c r="AO48" s="30"/>
      <c r="AP48" s="23"/>
      <c r="AQ48" s="23"/>
      <c r="AR48" s="23"/>
      <c r="AS48" s="23"/>
      <c r="AT48" s="28"/>
      <c r="AU48" s="29"/>
      <c r="AV48" s="29"/>
      <c r="AW48" s="29"/>
      <c r="AX48" s="30"/>
      <c r="AY48" s="23"/>
      <c r="AZ48" s="23"/>
      <c r="BA48" s="23"/>
      <c r="BB48" s="23"/>
      <c r="BC48" s="28"/>
      <c r="BD48" s="29"/>
      <c r="BE48" s="29"/>
      <c r="BF48" s="29"/>
      <c r="BG48" s="30"/>
      <c r="BH48" s="23"/>
      <c r="BI48" s="23"/>
      <c r="BJ48" s="23"/>
      <c r="BK48" s="23"/>
      <c r="BL48" s="28"/>
      <c r="BM48" s="29"/>
      <c r="BN48" s="29"/>
      <c r="BO48" s="29"/>
      <c r="BP48" s="30"/>
      <c r="BQ48" s="23"/>
      <c r="BR48" s="23"/>
      <c r="BS48" s="23"/>
      <c r="BT48" s="23"/>
      <c r="BU48" s="117"/>
      <c r="BV48" s="118"/>
      <c r="BW48" s="118"/>
      <c r="BX48" s="118"/>
      <c r="BY48" s="118"/>
      <c r="BZ48" s="118"/>
      <c r="CA48" s="118"/>
      <c r="CB48" s="118"/>
      <c r="CC48" s="118"/>
      <c r="CD48" s="117"/>
      <c r="CE48" s="118"/>
      <c r="CF48" s="118"/>
      <c r="CG48" s="89"/>
      <c r="CH48" s="89"/>
      <c r="CI48" s="89"/>
      <c r="CJ48" s="89"/>
      <c r="CK48" s="89"/>
      <c r="CL48" s="89"/>
      <c r="CM48" s="62"/>
      <c r="CN48" s="63"/>
      <c r="CO48" s="63"/>
      <c r="CP48" s="63"/>
      <c r="CQ48" s="63"/>
      <c r="CR48" s="64"/>
      <c r="CZ48" s="19"/>
    </row>
    <row r="49" spans="1:110" ht="18.75" x14ac:dyDescent="0.15">
      <c r="A49" s="38"/>
      <c r="B49" s="38"/>
      <c r="C49" s="38"/>
      <c r="D49" s="38"/>
      <c r="E49" s="38"/>
      <c r="CZ49" s="16"/>
    </row>
    <row r="50" spans="1:110" ht="21" x14ac:dyDescent="0.15">
      <c r="CZ50" s="19"/>
    </row>
    <row r="54" spans="1:110" ht="28.5" x14ac:dyDescent="0.15">
      <c r="DF54" s="17"/>
    </row>
    <row r="55" spans="1:110" ht="28.5" x14ac:dyDescent="0.15">
      <c r="DF55" s="17"/>
    </row>
    <row r="56" spans="1:110" ht="28.5" x14ac:dyDescent="0.15">
      <c r="DF56" s="17"/>
    </row>
    <row r="57" spans="1:110" ht="28.5" x14ac:dyDescent="0.15">
      <c r="DF57" s="17"/>
    </row>
    <row r="58" spans="1:110" ht="28.5" x14ac:dyDescent="0.15">
      <c r="DF58" s="17"/>
    </row>
  </sheetData>
  <sheetProtection formatCells="0" selectLockedCells="1"/>
  <protectedRanges>
    <protectedRange sqref="FB13:FH16 EV13:EZ16" name="範囲2"/>
    <protectedRange sqref="EQ1:EX1" name="範囲1"/>
    <protectedRange sqref="A2:B2" name="範囲1_1"/>
  </protectedRanges>
  <mergeCells count="222">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C21:BG24"/>
    <mergeCell ref="BH21:BK24"/>
    <mergeCell ref="AT5:AX8"/>
    <mergeCell ref="AY5:BB8"/>
    <mergeCell ref="AT9:AX12"/>
    <mergeCell ref="AY9:BB12"/>
    <mergeCell ref="AT13:AX16"/>
    <mergeCell ref="AY13:BB16"/>
    <mergeCell ref="AT17:AX20"/>
    <mergeCell ref="AY17:BB20"/>
    <mergeCell ref="AT21:AX24"/>
    <mergeCell ref="AY21:BB24"/>
    <mergeCell ref="AK25:AO28"/>
    <mergeCell ref="AP25:AS28"/>
    <mergeCell ref="AK29:AO32"/>
    <mergeCell ref="AP29:AS32"/>
    <mergeCell ref="AK33:AO36"/>
    <mergeCell ref="AP33:AS36"/>
    <mergeCell ref="AK37:AO40"/>
    <mergeCell ref="AP37:AS40"/>
    <mergeCell ref="AK41:AO44"/>
    <mergeCell ref="AP41:AS44"/>
    <mergeCell ref="AK5:AO8"/>
    <mergeCell ref="AP5:AS8"/>
    <mergeCell ref="AK9:AO12"/>
    <mergeCell ref="AP9:AS12"/>
    <mergeCell ref="AK13:AO16"/>
    <mergeCell ref="AP13:AS16"/>
    <mergeCell ref="AK17:AO20"/>
    <mergeCell ref="AP17:AS20"/>
    <mergeCell ref="AK21:AO24"/>
    <mergeCell ref="AP21:AS24"/>
    <mergeCell ref="AB25:AF28"/>
    <mergeCell ref="AG25:AJ28"/>
    <mergeCell ref="AB29:AF32"/>
    <mergeCell ref="AG29:AJ32"/>
    <mergeCell ref="AB33:AF36"/>
    <mergeCell ref="AG33:AJ36"/>
    <mergeCell ref="AB37:AF40"/>
    <mergeCell ref="AG37:AJ40"/>
    <mergeCell ref="AB41:AF44"/>
    <mergeCell ref="AG41:AJ44"/>
    <mergeCell ref="AB5:AF8"/>
    <mergeCell ref="AG5:AJ8"/>
    <mergeCell ref="AB9:AF12"/>
    <mergeCell ref="AG9:AJ12"/>
    <mergeCell ref="AB13:AF16"/>
    <mergeCell ref="AG13:AJ16"/>
    <mergeCell ref="AB17:AF20"/>
    <mergeCell ref="AG17:AJ20"/>
    <mergeCell ref="AB21:AF24"/>
    <mergeCell ref="AG21:AJ24"/>
    <mergeCell ref="S5:W8"/>
    <mergeCell ref="X5:AA8"/>
    <mergeCell ref="S9:W12"/>
    <mergeCell ref="X9:AA12"/>
    <mergeCell ref="S13:W16"/>
    <mergeCell ref="X13:AA16"/>
    <mergeCell ref="S17:W20"/>
    <mergeCell ref="X17:AA20"/>
    <mergeCell ref="S21:W24"/>
    <mergeCell ref="X21:AA24"/>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A5:E8"/>
    <mergeCell ref="A9:E12"/>
    <mergeCell ref="A13:E16"/>
    <mergeCell ref="A17:E20"/>
    <mergeCell ref="F5:I8"/>
    <mergeCell ref="F9:I12"/>
    <mergeCell ref="F13:I16"/>
    <mergeCell ref="A21:E24"/>
    <mergeCell ref="F17:I20"/>
    <mergeCell ref="F21:I24"/>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S45:W48"/>
    <mergeCell ref="X45:AA48"/>
    <mergeCell ref="AB45:AF48"/>
    <mergeCell ref="AG45:AJ48"/>
    <mergeCell ref="AK45:AO48"/>
    <mergeCell ref="AP45:AS48"/>
    <mergeCell ref="AT37:AX40"/>
    <mergeCell ref="AY37:BB40"/>
    <mergeCell ref="AT41:AX44"/>
    <mergeCell ref="AY41:BB44"/>
    <mergeCell ref="AT45:AX48"/>
    <mergeCell ref="AY45:BB48"/>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6">
      <formula>AND($AN$2="なぞり文字",J5&lt;&gt;$A$4,J5&lt;&gt;$G$4,J5&lt;&gt;$M$4,J5&lt;&gt;$S$4,J5&lt;&gt;$Y$4,J5&lt;&gt;$AE$4,J5&lt;&gt;$AK$4,J5&lt;&gt;$AQ$4,J5&lt;&gt;$AW$4,J5&lt;&gt;$BC$4,J5&lt;&gt;$BI$4,J5&lt;&gt;$BO$4,J5&lt;&gt;$BU$4,J5&lt;&gt;$CA$4,J5&lt;&gt;$CG$4)</formula>
    </cfRule>
    <cfRule type="expression" dxfId="111" priority="27">
      <formula>AND($AN$2="黒文字",J5&lt;&gt;$A$4,J5&lt;&gt;$G$4,J5&lt;&gt;$M$4,J5&lt;&gt;$S$4,J5&lt;&gt;$Y$4,J5&lt;&gt;$AE$4,J5&lt;&gt;$AK$4,J5&lt;&gt;$AQ$4,J5&lt;&gt;$AW$4,J5&lt;&gt;$BC$4,J5&lt;&gt;$BI$4,J5&lt;&gt;$BO$4,J5&lt;&gt;$BU$4,J5&lt;&gt;$CA$4,J5&lt;&gt;$CG$4)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1">
      <formula>AND($N$2="入れない",OR(J13=$A$4,J13=$G$4,J13=$M$4,J13=$S$4,J13=$Y$4,J13=$AE$4,J13=$AK$4,J13=$AQ$4,J13=$AW$4,J13=$BC$4,J13=$BI$4,J13=$BO$4,J13=$BU$4,J13=$CA$4,J13=$CG$4))</formula>
    </cfRule>
    <cfRule type="expression" dxfId="104" priority="22">
      <formula>AND($AN$2="なぞり文字",J13&lt;&gt;$A$4,J13&lt;&gt;$G$4,J13&lt;&gt;$M$4,J13&lt;&gt;$S$4,J13&lt;&gt;$Y$4,J13&lt;&gt;$AE$4,J13&lt;&gt;$AK$4,J13&lt;&gt;$AQ$4,J13&lt;&gt;$AW$4,J13&lt;&gt;$BC$4,J13&lt;&gt;$BI$4,J13&lt;&gt;$BO$4,J13&lt;&gt;$BU$4,J13&lt;&gt;$CA$4,J13&lt;&gt;$CG$4)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3" operator="equal">
      <formula>"入れる"</formula>
    </cfRule>
    <cfRule type="cellIs" dxfId="96" priority="914" operator="equal">
      <formula>"入れない"</formula>
    </cfRule>
  </conditionalFormatting>
  <conditionalFormatting sqref="S5:W8">
    <cfRule type="expression" dxfId="95" priority="45">
      <formula>AND($AN$2="なぞり文字",S5&lt;&gt;$A$4,S5&lt;&gt;$G$4,S5&lt;&gt;$M$4,S5&lt;&gt;$S$4,S5&lt;&gt;$Y$4,S5&lt;&gt;$AE$4,S5&lt;&gt;$AK$4,S5&lt;&gt;$AQ$4,S5&lt;&gt;$AW$4,S5&lt;&gt;$BC$4,S5&lt;&gt;$BI$4,S5&lt;&gt;$BO$4,S5&lt;&gt;$BU$4,S5&lt;&gt;$CA$4,S5&lt;&gt;$CG$4)</formula>
    </cfRule>
    <cfRule type="expression" dxfId="94" priority="46">
      <formula>AND($AN$2="黒文字",S5&lt;&gt;$A$4,S5&lt;&gt;$G$4,S5&lt;&gt;$M$4,S5&lt;&gt;$S$4,S5&lt;&gt;$Y$4,S5&lt;&gt;$AE$4,S5&lt;&gt;$AK$4,S5&lt;&gt;$AQ$4,S5&lt;&gt;$AW$4,S5&lt;&gt;$BC$4,S5&lt;&gt;$BI$4,S5&lt;&gt;$BO$4,S5&lt;&gt;$BU$4,S5&lt;&gt;$CA$4,S5&lt;&gt;$CG$4)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0">
      <formula>AND($N$2="入れない",OR(S13=$A$4,S13=$G$4,S13=$M$4,S13=$S$4,S13=$Y$4,S13=$AE$4,S13=$AK$4,S13=$AQ$4,S13=$AW$4,S13=$BC$4,S13=$BI$4,S13=$BO$4,S13=$BU$4,S13=$CA$4,S13=$CG$4))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2">
      <formula>AND($AN$2="黒文字",S13&lt;&gt;$A$4,S13&lt;&gt;$G$4,S13&lt;&gt;$M$4,S13&lt;&gt;$S$4,S13&lt;&gt;$Y$4,S13&lt;&gt;$AE$4,S13&lt;&gt;$AK$4,S13&lt;&gt;$AQ$4,S13&lt;&gt;$AW$4,S13&lt;&gt;$BC$4,S13&lt;&gt;$BI$4,S13&lt;&gt;$BO$4,S13&lt;&gt;$BU$4,S13&lt;&gt;$CA$4,S13&lt;&gt;$CG$4)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4">
      <formula>AND($AN$2="なぞり文字",AB5&lt;&gt;$A$4,AB5&lt;&gt;$G$4,AB5&lt;&gt;$M$4,AB5&lt;&gt;$S$4,AB5&lt;&gt;$Y$4,AB5&lt;&gt;$AE$4,AB5&lt;&gt;$AK$4,AB5&lt;&gt;$AQ$4,AB5&lt;&gt;$AW$4,AB5&lt;&gt;$BC$4,AB5&lt;&gt;$BI$4,AB5&lt;&gt;$BO$4,AB5&lt;&gt;$BU$4,AB5&lt;&gt;$CA$4,AB5&lt;&gt;$CG$4)</formula>
    </cfRule>
    <cfRule type="expression" dxfId="79" priority="65">
      <formula>AND($AN$2="黒文字",AB5&lt;&gt;$A$4,AB5&lt;&gt;$G$4,AB5&lt;&gt;$M$4,AB5&lt;&gt;$S$4,AB5&lt;&gt;$Y$4,AB5&lt;&gt;$AE$4,AB5&lt;&gt;$AK$4,AB5&lt;&gt;$AQ$4,AB5&lt;&gt;$AW$4,AB5&lt;&gt;$BC$4,AB5&lt;&gt;$BI$4,AB5&lt;&gt;$BO$4,AB5&lt;&gt;$BU$4,AB5&lt;&gt;$CA$4,AB5&lt;&gt;$CG$4)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3">
      <formula>AND($AN$2="なぞり文字",AK5&lt;&gt;$A$4,AK5&lt;&gt;$G$4,AK5&lt;&gt;$M$4,AK5&lt;&gt;$S$4,AK5&lt;&gt;$Y$4,AK5&lt;&gt;$AE$4,AK5&lt;&gt;$AK$4,AK5&lt;&gt;$AQ$4,AK5&lt;&gt;$AW$4,AK5&lt;&gt;$BC$4,AK5&lt;&gt;$BI$4,AK5&lt;&gt;$BO$4,AK5&lt;&gt;$BU$4,AK5&lt;&gt;$CA$4,AK5&lt;&gt;$CG$4)</formula>
    </cfRule>
    <cfRule type="expression" dxfId="64" priority="84">
      <formula>AND($AN$2="黒文字",AK5&lt;&gt;$A$4,AK5&lt;&gt;$G$4,AK5&lt;&gt;$M$4,AK5&lt;&gt;$S$4,AK5&lt;&gt;$Y$4,AK5&lt;&gt;$AE$4,AK5&lt;&gt;$AK$4,AK5&lt;&gt;$AQ$4,AK5&lt;&gt;$AW$4,AK5&lt;&gt;$BC$4,AK5&lt;&gt;$BI$4,AK5&lt;&gt;$BO$4,AK5&lt;&gt;$BU$4,AK5&lt;&gt;$CA$4,AK5&lt;&gt;$CG$4)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78">
      <formula>AND($N$2="入れない",OR(AK13=$A$4,AK13=$G$4,AK13=$M$4,AK13=$S$4,AK13=$Y$4,AK13=$AE$4,AK13=$AK$4,AK13=$AQ$4,AK13=$AW$4,AK13=$BC$4,AK13=$BI$4,AK13=$BO$4,AK13=$BU$4,AK13=$CA$4,AK13=$CG$4))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80">
      <formula>AND($AN$2="黒文字",AK13&lt;&gt;$A$4,AK13&lt;&gt;$G$4,AK13&lt;&gt;$M$4,AK13&lt;&gt;$S$4,AK13&lt;&gt;$Y$4,AK13&lt;&gt;$AE$4,AK13&lt;&gt;$AK$4,AK13&lt;&gt;$AQ$4,AK13&lt;&gt;$AW$4,AK13&lt;&gt;$BC$4,AK13&lt;&gt;$BI$4,AK13&lt;&gt;$BO$4,AK13&lt;&gt;$BU$4,AK13&lt;&gt;$CA$4,AK13&lt;&gt;$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7">
      <formula>AND($N$2="入れない",OR(AT13=$A$4,AT13=$G$4,AT13=$M$4,AT13=$S$4,AT13=$Y$4,AT13=$AE$4,AT13=$AK$4,AT13=$AQ$4,AT13=$AW$4,AT13=$BC$4,AT13=$BI$4,AT13=$BO$4,AT13=$BU$4,AT13=$CA$4,AT13=$CG$4))</formula>
    </cfRule>
    <cfRule type="expression" dxfId="40" priority="98">
      <formula>AND($AN$2="なぞり文字",AT13&lt;&gt;$A$4,AT13&lt;&gt;$G$4,AT13&lt;&gt;$M$4,AT13&lt;&gt;$S$4,AT13&lt;&gt;$Y$4,AT13&lt;&gt;$AE$4,AT13&lt;&gt;$AK$4,AT13&lt;&gt;$AQ$4,AT13&lt;&gt;$AW$4,AT13&lt;&gt;$BC$4,AT13&lt;&gt;$BI$4,AT13&lt;&gt;$BO$4,AT13&lt;&gt;$BU$4,AT13&lt;&gt;$CA$4,AT13&lt;&gt;$CG$4)</formula>
    </cfRule>
    <cfRule type="expression" dxfId="39" priority="99">
      <formula>AND($AN$2="黒文字",AT13&lt;&gt;$A$4,AT13&lt;&gt;$G$4,AT13&lt;&gt;$M$4,AT13&lt;&gt;$S$4,AT13&lt;&gt;$Y$4,AT13&lt;&gt;$AE$4,AT13&lt;&gt;$AK$4,AT13&lt;&gt;$AQ$4,AT13&lt;&gt;$AW$4,AT13&lt;&gt;$BC$4,AT13&lt;&gt;$BI$4,AT13&lt;&gt;$BO$4,AT13&lt;&gt;$BU$4,AT13&lt;&gt;$CA$4,AT13&lt;&gt;$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6"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zoomScale="110" zoomScaleNormal="110" workbookViewId="0">
      <selection activeCell="B23" sqref="B23:C30"/>
    </sheetView>
  </sheetViews>
  <sheetFormatPr defaultColWidth="9" defaultRowHeight="15.75" x14ac:dyDescent="0.15"/>
  <cols>
    <col min="1" max="1" width="3.5" style="1" bestFit="1" customWidth="1"/>
    <col min="2" max="5" width="5.5" style="15" customWidth="1"/>
    <col min="6" max="16" width="5.5" style="1" customWidth="1"/>
    <col min="17" max="24" width="3.5" style="1" bestFit="1" customWidth="1"/>
    <col min="25" max="25" width="9.25" style="1" customWidth="1"/>
    <col min="26" max="16384" width="9" style="1"/>
  </cols>
  <sheetData>
    <row r="1" spans="1:16" ht="16.5" thickBot="1" x14ac:dyDescent="0.2">
      <c r="B1" s="1" t="s">
        <v>11</v>
      </c>
    </row>
    <row r="2" spans="1:16" ht="15" x14ac:dyDescent="0.15">
      <c r="B2" s="107" t="s">
        <v>33</v>
      </c>
      <c r="C2" s="101" t="s">
        <v>34</v>
      </c>
      <c r="D2" s="101" t="s">
        <v>98</v>
      </c>
      <c r="E2" s="101" t="s">
        <v>35</v>
      </c>
      <c r="F2" s="101" t="s">
        <v>99</v>
      </c>
      <c r="G2" s="101" t="s">
        <v>42</v>
      </c>
      <c r="H2" s="101" t="s">
        <v>51</v>
      </c>
      <c r="I2" s="101" t="s">
        <v>59</v>
      </c>
      <c r="J2" s="101" t="s">
        <v>50</v>
      </c>
      <c r="K2" s="90" t="s">
        <v>52</v>
      </c>
      <c r="L2" s="90" t="s">
        <v>60</v>
      </c>
      <c r="M2" s="90" t="s">
        <v>42</v>
      </c>
      <c r="N2" s="90" t="s">
        <v>58</v>
      </c>
      <c r="O2" s="90" t="s">
        <v>54</v>
      </c>
      <c r="P2" s="92" t="s">
        <v>57</v>
      </c>
    </row>
    <row r="3" spans="1:16" thickBot="1" x14ac:dyDescent="0.2">
      <c r="B3" s="108"/>
      <c r="C3" s="102"/>
      <c r="D3" s="102"/>
      <c r="E3" s="102"/>
      <c r="F3" s="102"/>
      <c r="G3" s="102"/>
      <c r="H3" s="102"/>
      <c r="I3" s="102"/>
      <c r="J3" s="102"/>
      <c r="K3" s="91"/>
      <c r="L3" s="91"/>
      <c r="M3" s="91"/>
      <c r="N3" s="91"/>
      <c r="O3" s="91"/>
      <c r="P3" s="93"/>
    </row>
    <row r="4" spans="1:16" ht="16.5" thickBot="1" x14ac:dyDescent="0.2"/>
    <row r="5" spans="1:16" ht="16.5" thickBot="1" x14ac:dyDescent="0.2">
      <c r="A5" s="4"/>
      <c r="B5" s="5" t="s">
        <v>12</v>
      </c>
      <c r="C5" s="6"/>
      <c r="D5" s="6"/>
      <c r="E5" s="6" t="s">
        <v>13</v>
      </c>
      <c r="F5" s="7"/>
      <c r="G5" s="7"/>
      <c r="H5" s="7"/>
      <c r="I5" s="7"/>
      <c r="J5" s="7"/>
      <c r="K5" s="7"/>
      <c r="L5" s="7"/>
      <c r="M5" s="7"/>
      <c r="N5" s="7"/>
      <c r="O5" s="7"/>
      <c r="P5" s="8"/>
    </row>
    <row r="6" spans="1:16" ht="15" x14ac:dyDescent="0.15">
      <c r="A6" s="103">
        <v>1</v>
      </c>
      <c r="B6" s="94" t="s">
        <v>38</v>
      </c>
      <c r="C6" s="95"/>
      <c r="D6" s="96"/>
      <c r="E6" s="105">
        <f>LEN(B6)</f>
        <v>10</v>
      </c>
      <c r="F6" s="9" t="str">
        <f>MID(B6,1,1)</f>
        <v>俳</v>
      </c>
      <c r="G6" s="10" t="str">
        <f>MID(B6,2,1)</f>
        <v>句</v>
      </c>
      <c r="H6" s="10" t="str">
        <f>MID(B6,3,1)</f>
        <v>の</v>
      </c>
      <c r="I6" s="10" t="str">
        <f>MID(B6,4,1)</f>
        <v>意</v>
      </c>
      <c r="J6" s="10" t="str">
        <f>MID(B6,5,1)</f>
        <v>味</v>
      </c>
      <c r="K6" s="10" t="str">
        <f>MID(B6,6,1)</f>
        <v>を</v>
      </c>
      <c r="L6" s="10" t="str">
        <f>MID(B6,7,1)</f>
        <v>理</v>
      </c>
      <c r="M6" s="10" t="str">
        <f>MID(B6,8,1)</f>
        <v>解</v>
      </c>
      <c r="N6" s="10" t="str">
        <f>MID(B6,9,1)</f>
        <v>す</v>
      </c>
      <c r="O6" s="10" t="str">
        <f>MID(B6,10,1)</f>
        <v>る</v>
      </c>
      <c r="P6" s="11" t="str">
        <f>MID(B6,11,1)</f>
        <v/>
      </c>
    </row>
    <row r="7" spans="1:16" thickBot="1" x14ac:dyDescent="0.2">
      <c r="A7" s="104"/>
      <c r="B7" s="97"/>
      <c r="C7" s="98"/>
      <c r="D7" s="99"/>
      <c r="E7" s="106"/>
      <c r="F7" s="12" t="s">
        <v>61</v>
      </c>
      <c r="G7" s="13" t="s">
        <v>62</v>
      </c>
      <c r="H7" s="13"/>
      <c r="I7" s="13" t="s">
        <v>63</v>
      </c>
      <c r="J7" s="13" t="s">
        <v>64</v>
      </c>
      <c r="K7" s="13"/>
      <c r="L7" s="13" t="s">
        <v>65</v>
      </c>
      <c r="M7" s="13" t="s">
        <v>66</v>
      </c>
      <c r="N7" s="13"/>
      <c r="O7" s="13"/>
      <c r="P7" s="14"/>
    </row>
    <row r="8" spans="1:16" ht="15" x14ac:dyDescent="0.15">
      <c r="A8" s="103">
        <v>2</v>
      </c>
      <c r="B8" s="100" t="s">
        <v>49</v>
      </c>
      <c r="C8" s="98"/>
      <c r="D8" s="99"/>
      <c r="E8" s="105">
        <f>LEN(B8)</f>
        <v>11</v>
      </c>
      <c r="F8" s="9" t="str">
        <f>MID(B8,1,1)</f>
        <v>反</v>
      </c>
      <c r="G8" s="10" t="str">
        <f>MID(B8,2,1)</f>
        <v>対</v>
      </c>
      <c r="H8" s="10" t="str">
        <f>MID(B8,3,1)</f>
        <v>派</v>
      </c>
      <c r="I8" s="10" t="str">
        <f>MID(B8,4,1)</f>
        <v>の</v>
      </c>
      <c r="J8" s="10" t="str">
        <f>MID(B8,5,1)</f>
        <v>動</v>
      </c>
      <c r="K8" s="10" t="str">
        <f>MID(B8,6,1)</f>
        <v>き</v>
      </c>
      <c r="L8" s="10" t="str">
        <f>MID(B8,7,1)</f>
        <v>を</v>
      </c>
      <c r="M8" s="10" t="str">
        <f>MID(B8,8,1)</f>
        <v>抑</v>
      </c>
      <c r="N8" s="10" t="str">
        <f>MID(B8,9,1)</f>
        <v>え</v>
      </c>
      <c r="O8" s="10" t="str">
        <f>MID(B8,10,1)</f>
        <v>込</v>
      </c>
      <c r="P8" s="11" t="str">
        <f>MID(B8,11,1)</f>
        <v>む</v>
      </c>
    </row>
    <row r="9" spans="1:16" thickBot="1" x14ac:dyDescent="0.2">
      <c r="A9" s="104"/>
      <c r="B9" s="97"/>
      <c r="C9" s="98"/>
      <c r="D9" s="99"/>
      <c r="E9" s="106"/>
      <c r="F9" s="12" t="s">
        <v>71</v>
      </c>
      <c r="G9" s="13" t="s">
        <v>31</v>
      </c>
      <c r="H9" s="13" t="s">
        <v>70</v>
      </c>
      <c r="I9" s="13"/>
      <c r="J9" s="13" t="s">
        <v>69</v>
      </c>
      <c r="K9" s="13"/>
      <c r="L9" s="13"/>
      <c r="M9" s="13" t="s">
        <v>68</v>
      </c>
      <c r="N9" s="13"/>
      <c r="O9" s="13" t="s">
        <v>67</v>
      </c>
      <c r="P9" s="14"/>
    </row>
    <row r="10" spans="1:16" ht="15" x14ac:dyDescent="0.15">
      <c r="A10" s="103">
        <v>3</v>
      </c>
      <c r="B10" s="100" t="s">
        <v>39</v>
      </c>
      <c r="C10" s="98"/>
      <c r="D10" s="99"/>
      <c r="E10" s="105">
        <f>LEN(B10)</f>
        <v>9</v>
      </c>
      <c r="F10" s="9" t="str">
        <f>MID(B10,1,1)</f>
        <v>五</v>
      </c>
      <c r="G10" s="10" t="str">
        <f>MID(B10,2,1)</f>
        <v>感</v>
      </c>
      <c r="H10" s="10" t="str">
        <f>MID(B10,3,1)</f>
        <v>を</v>
      </c>
      <c r="I10" s="10" t="str">
        <f>MID(B10,4,1)</f>
        <v>刺</v>
      </c>
      <c r="J10" s="10" t="str">
        <f>MID(B10,5,1)</f>
        <v>激</v>
      </c>
      <c r="K10" s="10" t="str">
        <f>MID(B10,6,1)</f>
        <v>す</v>
      </c>
      <c r="L10" s="10" t="str">
        <f>MID(B10,7,1)</f>
        <v>る</v>
      </c>
      <c r="M10" s="10" t="str">
        <f>MID(B10,8,1)</f>
        <v>体</v>
      </c>
      <c r="N10" s="10" t="str">
        <f>MID(B10,9,1)</f>
        <v>験</v>
      </c>
      <c r="O10" s="10" t="str">
        <f>MID(B10,10,1)</f>
        <v/>
      </c>
      <c r="P10" s="11" t="str">
        <f>MID(B10,11,1)</f>
        <v/>
      </c>
    </row>
    <row r="11" spans="1:16" thickBot="1" x14ac:dyDescent="0.2">
      <c r="A11" s="104"/>
      <c r="B11" s="97"/>
      <c r="C11" s="98"/>
      <c r="D11" s="99"/>
      <c r="E11" s="106"/>
      <c r="F11" s="12" t="s">
        <v>72</v>
      </c>
      <c r="G11" s="13" t="s">
        <v>73</v>
      </c>
      <c r="H11" s="13"/>
      <c r="I11" s="13" t="s">
        <v>74</v>
      </c>
      <c r="J11" s="13" t="s">
        <v>75</v>
      </c>
      <c r="K11" s="13"/>
      <c r="L11" s="13"/>
      <c r="M11" s="13" t="s">
        <v>76</v>
      </c>
      <c r="N11" s="13" t="s">
        <v>77</v>
      </c>
      <c r="O11" s="13"/>
      <c r="P11" s="14"/>
    </row>
    <row r="12" spans="1:16" ht="15" x14ac:dyDescent="0.15">
      <c r="A12" s="103">
        <v>4</v>
      </c>
      <c r="B12" s="100" t="s">
        <v>55</v>
      </c>
      <c r="C12" s="98"/>
      <c r="D12" s="99"/>
      <c r="E12" s="105">
        <f>LEN(B12)</f>
        <v>8</v>
      </c>
      <c r="F12" s="9" t="str">
        <f>MID(B12,1,1)</f>
        <v>懐</v>
      </c>
      <c r="G12" s="10" t="str">
        <f>MID(B12,2,1)</f>
        <v>か</v>
      </c>
      <c r="H12" s="10" t="str">
        <f>MID(B12,3,1)</f>
        <v>し</v>
      </c>
      <c r="I12" s="10" t="str">
        <f>MID(B12,4,1)</f>
        <v>い</v>
      </c>
      <c r="J12" s="10" t="str">
        <f>MID(B12,5,1)</f>
        <v>故</v>
      </c>
      <c r="K12" s="10" t="str">
        <f>MID(B12,6,1)</f>
        <v>郷</v>
      </c>
      <c r="L12" s="10" t="str">
        <f>MID(B12,7,1)</f>
        <v>の</v>
      </c>
      <c r="M12" s="10" t="str">
        <f>MID(B12,8,1)</f>
        <v>味</v>
      </c>
      <c r="N12" s="10" t="str">
        <f>MID(B12,9,1)</f>
        <v/>
      </c>
      <c r="O12" s="10" t="str">
        <f>MID(B12,10,1)</f>
        <v/>
      </c>
      <c r="P12" s="11" t="str">
        <f>MID(B12,11,1)</f>
        <v/>
      </c>
    </row>
    <row r="13" spans="1:16" thickBot="1" x14ac:dyDescent="0.2">
      <c r="A13" s="104"/>
      <c r="B13" s="97"/>
      <c r="C13" s="98"/>
      <c r="D13" s="99"/>
      <c r="E13" s="106"/>
      <c r="F13" s="12" t="s">
        <v>81</v>
      </c>
      <c r="G13" s="13"/>
      <c r="H13" s="13"/>
      <c r="I13" s="13"/>
      <c r="J13" s="13" t="s">
        <v>80</v>
      </c>
      <c r="K13" s="13" t="s">
        <v>79</v>
      </c>
      <c r="L13" s="13"/>
      <c r="M13" s="13" t="s">
        <v>78</v>
      </c>
      <c r="N13" s="13"/>
      <c r="O13" s="13"/>
      <c r="P13" s="14"/>
    </row>
    <row r="14" spans="1:16" ht="15" x14ac:dyDescent="0.15">
      <c r="A14" s="103">
        <v>5</v>
      </c>
      <c r="B14" s="100" t="s">
        <v>43</v>
      </c>
      <c r="C14" s="98"/>
      <c r="D14" s="99"/>
      <c r="E14" s="105">
        <f>LEN(B14)</f>
        <v>11</v>
      </c>
      <c r="F14" s="9" t="str">
        <f>MID(B14,1,1)</f>
        <v>季</v>
      </c>
      <c r="G14" s="10" t="str">
        <f>MID(B14,2,1)</f>
        <v>節</v>
      </c>
      <c r="H14" s="10" t="str">
        <f>MID(B14,3,1)</f>
        <v>の</v>
      </c>
      <c r="I14" s="10" t="str">
        <f>MID(B14,4,1)</f>
        <v>変</v>
      </c>
      <c r="J14" s="10" t="str">
        <f>MID(B14,5,1)</f>
        <v>化</v>
      </c>
      <c r="K14" s="10" t="str">
        <f>MID(B14,6,1)</f>
        <v>に</v>
      </c>
      <c r="L14" s="10" t="str">
        <f>MID(B14,7,1)</f>
        <v>心</v>
      </c>
      <c r="M14" s="10" t="str">
        <f>MID(B14,8,1)</f>
        <v>を</v>
      </c>
      <c r="N14" s="10" t="str">
        <f>MID(B14,9,1)</f>
        <v>傾</v>
      </c>
      <c r="O14" s="10" t="str">
        <f>MID(B14,10,1)</f>
        <v>け</v>
      </c>
      <c r="P14" s="11" t="str">
        <f>MID(B14,11,1)</f>
        <v>る</v>
      </c>
    </row>
    <row r="15" spans="1:16" thickBot="1" x14ac:dyDescent="0.2">
      <c r="A15" s="104"/>
      <c r="B15" s="97"/>
      <c r="C15" s="98"/>
      <c r="D15" s="99"/>
      <c r="E15" s="106"/>
      <c r="F15" s="12" t="s">
        <v>29</v>
      </c>
      <c r="G15" s="13" t="s">
        <v>82</v>
      </c>
      <c r="H15" s="13"/>
      <c r="I15" s="13" t="s">
        <v>30</v>
      </c>
      <c r="J15" s="13" t="s">
        <v>83</v>
      </c>
      <c r="K15" s="13"/>
      <c r="L15" s="13" t="s">
        <v>84</v>
      </c>
      <c r="M15" s="13"/>
      <c r="N15" s="13" t="s">
        <v>85</v>
      </c>
      <c r="O15" s="13"/>
      <c r="P15" s="14"/>
    </row>
    <row r="16" spans="1:16" ht="15" x14ac:dyDescent="0.15">
      <c r="A16" s="103">
        <v>6</v>
      </c>
      <c r="B16" s="100" t="s">
        <v>44</v>
      </c>
      <c r="C16" s="98"/>
      <c r="D16" s="99"/>
      <c r="E16" s="105">
        <f>LEN(B16)</f>
        <v>9</v>
      </c>
      <c r="F16" s="9" t="str">
        <f>MID(B16,1,1)</f>
        <v>暑</v>
      </c>
      <c r="G16" s="10" t="str">
        <f>MID(B16,2,1)</f>
        <v>さ</v>
      </c>
      <c r="H16" s="10" t="str">
        <f>MID(B16,3,1)</f>
        <v>と</v>
      </c>
      <c r="I16" s="10" t="str">
        <f>MID(B16,4,1)</f>
        <v>乾</v>
      </c>
      <c r="J16" s="10" t="str">
        <f>MID(B16,5,1)</f>
        <v>き</v>
      </c>
      <c r="K16" s="10" t="str">
        <f>MID(B16,6,1)</f>
        <v>に</v>
      </c>
      <c r="L16" s="10" t="str">
        <f>MID(B16,7,1)</f>
        <v>耐</v>
      </c>
      <c r="M16" s="10" t="str">
        <f>MID(B16,8,1)</f>
        <v>え</v>
      </c>
      <c r="N16" s="10" t="str">
        <f>MID(B16,9,1)</f>
        <v>る</v>
      </c>
      <c r="O16" s="10" t="str">
        <f>MID(B16,10,1)</f>
        <v/>
      </c>
      <c r="P16" s="11" t="str">
        <f>MID(B16,11,1)</f>
        <v/>
      </c>
    </row>
    <row r="17" spans="1:16" thickBot="1" x14ac:dyDescent="0.2">
      <c r="A17" s="104"/>
      <c r="B17" s="97"/>
      <c r="C17" s="98"/>
      <c r="D17" s="99"/>
      <c r="E17" s="106"/>
      <c r="F17" s="12" t="s">
        <v>88</v>
      </c>
      <c r="G17" s="13"/>
      <c r="H17" s="13"/>
      <c r="I17" s="13" t="s">
        <v>87</v>
      </c>
      <c r="J17" s="13"/>
      <c r="K17" s="13"/>
      <c r="L17" s="13" t="s">
        <v>86</v>
      </c>
      <c r="M17" s="13"/>
      <c r="N17" s="13"/>
      <c r="O17" s="13"/>
      <c r="P17" s="14"/>
    </row>
    <row r="18" spans="1:16" ht="15" x14ac:dyDescent="0.15">
      <c r="A18" s="103">
        <v>7</v>
      </c>
      <c r="B18" s="100" t="s">
        <v>53</v>
      </c>
      <c r="C18" s="98"/>
      <c r="D18" s="99"/>
      <c r="E18" s="105">
        <f>LEN(B18)</f>
        <v>10</v>
      </c>
      <c r="F18" s="9" t="str">
        <f>MID(B18,1,1)</f>
        <v>海</v>
      </c>
      <c r="G18" s="10" t="str">
        <f>MID(B18,2,1)</f>
        <v>を</v>
      </c>
      <c r="H18" s="10" t="str">
        <f>MID(B18,3,1)</f>
        <v>越</v>
      </c>
      <c r="I18" s="10" t="str">
        <f>MID(B18,4,1)</f>
        <v>え</v>
      </c>
      <c r="J18" s="10" t="str">
        <f>MID(B18,5,1)</f>
        <v>て</v>
      </c>
      <c r="K18" s="10" t="str">
        <f>MID(B18,6,1)</f>
        <v>訪</v>
      </c>
      <c r="L18" s="10" t="str">
        <f>MID(B18,7,1)</f>
        <v>れ</v>
      </c>
      <c r="M18" s="10" t="str">
        <f>MID(B18,8,1)</f>
        <v>た</v>
      </c>
      <c r="N18" s="10" t="str">
        <f>MID(B18,9,1)</f>
        <v>友</v>
      </c>
      <c r="O18" s="10" t="str">
        <f>MID(B18,10,1)</f>
        <v>人</v>
      </c>
      <c r="P18" s="11" t="str">
        <f>MID(B18,11,1)</f>
        <v/>
      </c>
    </row>
    <row r="19" spans="1:16" thickBot="1" x14ac:dyDescent="0.2">
      <c r="A19" s="104"/>
      <c r="B19" s="97"/>
      <c r="C19" s="98"/>
      <c r="D19" s="99"/>
      <c r="E19" s="106"/>
      <c r="F19" s="12" t="s">
        <v>89</v>
      </c>
      <c r="G19" s="13"/>
      <c r="H19" s="13" t="s">
        <v>90</v>
      </c>
      <c r="I19" s="13"/>
      <c r="J19" s="13"/>
      <c r="K19" s="13" t="s">
        <v>91</v>
      </c>
      <c r="L19" s="13"/>
      <c r="M19" s="13"/>
      <c r="N19" s="13" t="s">
        <v>92</v>
      </c>
      <c r="O19" s="13" t="s">
        <v>93</v>
      </c>
      <c r="P19" s="14"/>
    </row>
    <row r="20" spans="1:16" ht="15" x14ac:dyDescent="0.15">
      <c r="A20" s="103">
        <v>8</v>
      </c>
      <c r="B20" s="100" t="s">
        <v>45</v>
      </c>
      <c r="C20" s="98"/>
      <c r="D20" s="99"/>
      <c r="E20" s="105">
        <f>LEN(B20)</f>
        <v>11</v>
      </c>
      <c r="F20" s="9" t="str">
        <f>MID(B20,1,1)</f>
        <v>ガ</v>
      </c>
      <c r="G20" s="10" t="str">
        <f>MID(B20,2,1)</f>
        <v>ラ</v>
      </c>
      <c r="H20" s="10" t="str">
        <f>MID(B20,3,1)</f>
        <v>ス</v>
      </c>
      <c r="I20" s="10" t="str">
        <f>MID(B20,4,1)</f>
        <v>の</v>
      </c>
      <c r="J20" s="10" t="str">
        <f>MID(B20,5,1)</f>
        <v>破</v>
      </c>
      <c r="K20" s="10" t="str">
        <f>MID(B20,6,1)</f>
        <v>片</v>
      </c>
      <c r="L20" s="10" t="str">
        <f>MID(B20,7,1)</f>
        <v>が</v>
      </c>
      <c r="M20" s="10" t="str">
        <f>MID(B20,8,1)</f>
        <v>散</v>
      </c>
      <c r="N20" s="10" t="str">
        <f>MID(B20,9,1)</f>
        <v>乱</v>
      </c>
      <c r="O20" s="10" t="str">
        <f>MID(B20,10,1)</f>
        <v>す</v>
      </c>
      <c r="P20" s="11" t="str">
        <f>MID(B20,11,1)</f>
        <v>る</v>
      </c>
    </row>
    <row r="21" spans="1:16" thickBot="1" x14ac:dyDescent="0.2">
      <c r="A21" s="104"/>
      <c r="B21" s="97"/>
      <c r="C21" s="98"/>
      <c r="D21" s="99"/>
      <c r="E21" s="106"/>
      <c r="F21" s="12"/>
      <c r="G21" s="13"/>
      <c r="H21" s="13"/>
      <c r="I21" s="13"/>
      <c r="J21" s="13" t="s">
        <v>97</v>
      </c>
      <c r="K21" s="13" t="s">
        <v>96</v>
      </c>
      <c r="L21" s="13"/>
      <c r="M21" s="13" t="s">
        <v>95</v>
      </c>
      <c r="N21" s="13" t="s">
        <v>94</v>
      </c>
      <c r="O21" s="13"/>
      <c r="P21" s="14"/>
    </row>
    <row r="23" spans="1:16" ht="24" x14ac:dyDescent="0.15">
      <c r="A23" s="1">
        <f ca="1">RAND()</f>
        <v>0.37557473050028756</v>
      </c>
      <c r="B23" s="15">
        <f ca="1">RANK(A23,$A$23:$A$30,0)</f>
        <v>7</v>
      </c>
      <c r="C23" s="18" t="s">
        <v>36</v>
      </c>
    </row>
    <row r="24" spans="1:16" ht="24" x14ac:dyDescent="0.15">
      <c r="A24" s="1">
        <f t="shared" ref="A24:A30" ca="1" si="0">RAND()</f>
        <v>6.5443180810637935E-2</v>
      </c>
      <c r="B24" s="15">
        <f t="shared" ref="B24:B30" ca="1" si="1">RANK(A24,$A$23:$A$30,0)</f>
        <v>8</v>
      </c>
      <c r="C24" s="18" t="s">
        <v>37</v>
      </c>
    </row>
    <row r="25" spans="1:16" ht="24" x14ac:dyDescent="0.15">
      <c r="A25" s="1">
        <f t="shared" ca="1" si="0"/>
        <v>0.42622387235697012</v>
      </c>
      <c r="B25" s="15">
        <f t="shared" ca="1" si="1"/>
        <v>6</v>
      </c>
      <c r="C25" s="18" t="s">
        <v>48</v>
      </c>
    </row>
    <row r="26" spans="1:16" ht="24" x14ac:dyDescent="0.15">
      <c r="A26" s="1">
        <f t="shared" ca="1" si="0"/>
        <v>0.47628274099789625</v>
      </c>
      <c r="B26" s="15">
        <f t="shared" ca="1" si="1"/>
        <v>4</v>
      </c>
      <c r="C26" s="18" t="s">
        <v>56</v>
      </c>
    </row>
    <row r="27" spans="1:16" ht="24" x14ac:dyDescent="0.15">
      <c r="A27" s="1">
        <f t="shared" ca="1" si="0"/>
        <v>0.55384405732094399</v>
      </c>
      <c r="B27" s="15">
        <f t="shared" ca="1" si="1"/>
        <v>3</v>
      </c>
      <c r="C27" s="18" t="s">
        <v>40</v>
      </c>
    </row>
    <row r="28" spans="1:16" ht="24" x14ac:dyDescent="0.15">
      <c r="A28" s="1">
        <f t="shared" ca="1" si="0"/>
        <v>0.70989017075329564</v>
      </c>
      <c r="B28" s="15">
        <f t="shared" ca="1" si="1"/>
        <v>1</v>
      </c>
      <c r="C28" s="18" t="s">
        <v>41</v>
      </c>
    </row>
    <row r="29" spans="1:16" ht="24" x14ac:dyDescent="0.15">
      <c r="A29" s="1">
        <f t="shared" ca="1" si="0"/>
        <v>0.43510747109993353</v>
      </c>
      <c r="B29" s="15">
        <f t="shared" ca="1" si="1"/>
        <v>5</v>
      </c>
      <c r="C29" s="18" t="s">
        <v>46</v>
      </c>
    </row>
    <row r="30" spans="1:16" ht="24" x14ac:dyDescent="0.15">
      <c r="A30" s="1">
        <f t="shared" ca="1" si="0"/>
        <v>0.63909478399803799</v>
      </c>
      <c r="B30" s="15">
        <f t="shared" ca="1" si="1"/>
        <v>2</v>
      </c>
      <c r="C30" s="18" t="s">
        <v>47</v>
      </c>
    </row>
    <row r="35" spans="17:41" x14ac:dyDescent="0.15">
      <c r="Q35" s="1">
        <f ca="1">RAND()</f>
        <v>0.6259358500791794</v>
      </c>
      <c r="R35" s="1">
        <f ca="1">IF(印刷シート!$ED$2="する",RANK(Q35,$Q$35:$Q$42,0),1)</f>
        <v>4</v>
      </c>
      <c r="S35" s="15" t="str">
        <f>B2</f>
        <v>耐</v>
      </c>
      <c r="T35" s="1" t="str">
        <f t="shared" ref="T35:AD35" si="2">IF(F7="","",F7)</f>
        <v>はい</v>
      </c>
      <c r="U35" s="1" t="str">
        <f t="shared" si="2"/>
        <v>く</v>
      </c>
      <c r="V35" s="1" t="str">
        <f t="shared" si="2"/>
        <v/>
      </c>
      <c r="W35" s="1" t="str">
        <f t="shared" si="2"/>
        <v>い</v>
      </c>
      <c r="X35" s="1" t="str">
        <f t="shared" si="2"/>
        <v>み</v>
      </c>
      <c r="Y35" s="1" t="str">
        <f t="shared" si="2"/>
        <v/>
      </c>
      <c r="Z35" s="1" t="str">
        <f t="shared" si="2"/>
        <v>り</v>
      </c>
      <c r="AA35" s="1" t="str">
        <f t="shared" si="2"/>
        <v>かい</v>
      </c>
      <c r="AB35" s="1" t="str">
        <f t="shared" si="2"/>
        <v/>
      </c>
      <c r="AC35" s="1" t="str">
        <f t="shared" si="2"/>
        <v/>
      </c>
      <c r="AD35" s="1" t="str">
        <f t="shared" si="2"/>
        <v/>
      </c>
      <c r="AE35" s="1" t="str">
        <f t="shared" ref="AE35:AO35" si="3">IF(F6="","",F6)</f>
        <v>俳</v>
      </c>
      <c r="AF35" s="1" t="str">
        <f t="shared" si="3"/>
        <v>句</v>
      </c>
      <c r="AG35" s="1" t="str">
        <f t="shared" si="3"/>
        <v>の</v>
      </c>
      <c r="AH35" s="1" t="str">
        <f t="shared" si="3"/>
        <v>意</v>
      </c>
      <c r="AI35" s="1" t="str">
        <f t="shared" si="3"/>
        <v>味</v>
      </c>
      <c r="AJ35" s="1" t="str">
        <f t="shared" si="3"/>
        <v>を</v>
      </c>
      <c r="AK35" s="1" t="str">
        <f t="shared" si="3"/>
        <v>理</v>
      </c>
      <c r="AL35" s="1" t="str">
        <f t="shared" si="3"/>
        <v>解</v>
      </c>
      <c r="AM35" s="1" t="str">
        <f t="shared" si="3"/>
        <v>す</v>
      </c>
      <c r="AN35" s="1" t="str">
        <f t="shared" si="3"/>
        <v>る</v>
      </c>
      <c r="AO35" s="1" t="str">
        <f t="shared" si="3"/>
        <v/>
      </c>
    </row>
    <row r="36" spans="17:41" x14ac:dyDescent="0.15">
      <c r="Q36" s="1">
        <f t="shared" ref="Q36:Q42" ca="1" si="4">RAND()</f>
        <v>0.74314903171072344</v>
      </c>
      <c r="R36" s="1">
        <f ca="1">IF(印刷シート!$ED$2="する",RANK(Q36,$Q$35:$Q$42,0),2)</f>
        <v>2</v>
      </c>
      <c r="S36" s="15" t="str">
        <f>C2</f>
        <v>訪</v>
      </c>
      <c r="T36" s="1" t="str">
        <f t="shared" ref="T36:AD36" si="5">IF(F9="","",F9)</f>
        <v>はん</v>
      </c>
      <c r="U36" s="1" t="str">
        <f t="shared" si="5"/>
        <v>たい</v>
      </c>
      <c r="V36" s="1" t="str">
        <f t="shared" si="5"/>
        <v>は</v>
      </c>
      <c r="W36" s="1" t="str">
        <f t="shared" si="5"/>
        <v/>
      </c>
      <c r="X36" s="1" t="str">
        <f t="shared" si="5"/>
        <v>うご</v>
      </c>
      <c r="Y36" s="1" t="str">
        <f t="shared" si="5"/>
        <v/>
      </c>
      <c r="Z36" s="1" t="str">
        <f t="shared" si="5"/>
        <v/>
      </c>
      <c r="AA36" s="1" t="str">
        <f t="shared" si="5"/>
        <v>おさ</v>
      </c>
      <c r="AB36" s="1" t="str">
        <f t="shared" si="5"/>
        <v/>
      </c>
      <c r="AC36" s="1" t="str">
        <f t="shared" si="5"/>
        <v>こ</v>
      </c>
      <c r="AD36" s="1" t="str">
        <f t="shared" si="5"/>
        <v/>
      </c>
      <c r="AE36" s="1" t="str">
        <f t="shared" ref="AE36:AO36" si="6">IF(F8="","",F8)</f>
        <v>反</v>
      </c>
      <c r="AF36" s="1" t="str">
        <f t="shared" si="6"/>
        <v>対</v>
      </c>
      <c r="AG36" s="1" t="str">
        <f t="shared" si="6"/>
        <v>派</v>
      </c>
      <c r="AH36" s="1" t="str">
        <f t="shared" si="6"/>
        <v>の</v>
      </c>
      <c r="AI36" s="1" t="str">
        <f t="shared" si="6"/>
        <v>動</v>
      </c>
      <c r="AJ36" s="1" t="str">
        <f t="shared" si="6"/>
        <v>き</v>
      </c>
      <c r="AK36" s="1" t="str">
        <f t="shared" si="6"/>
        <v>を</v>
      </c>
      <c r="AL36" s="1" t="str">
        <f t="shared" si="6"/>
        <v>抑</v>
      </c>
      <c r="AM36" s="1" t="str">
        <f t="shared" si="6"/>
        <v>え</v>
      </c>
      <c r="AN36" s="1" t="str">
        <f t="shared" si="6"/>
        <v>込</v>
      </c>
      <c r="AO36" s="1" t="str">
        <f t="shared" si="6"/>
        <v>む</v>
      </c>
    </row>
    <row r="37" spans="17:41" x14ac:dyDescent="0.15">
      <c r="Q37" s="1">
        <f t="shared" ca="1" si="4"/>
        <v>0.20228935266287185</v>
      </c>
      <c r="R37" s="1">
        <f ca="1">IF(印刷シート!$ED$2="する",RANK(Q37,$Q$35:$Q$42,0),3)</f>
        <v>7</v>
      </c>
      <c r="S37" s="15" t="str">
        <f>D2</f>
        <v>故</v>
      </c>
      <c r="T37" s="1" t="str">
        <f t="shared" ref="T37:AD37" si="7">IF(F11="","",F11)</f>
        <v>ご</v>
      </c>
      <c r="U37" s="1" t="str">
        <f t="shared" si="7"/>
        <v>かん</v>
      </c>
      <c r="V37" s="1" t="str">
        <f t="shared" si="7"/>
        <v/>
      </c>
      <c r="W37" s="1" t="str">
        <f t="shared" si="7"/>
        <v>し</v>
      </c>
      <c r="X37" s="1" t="str">
        <f t="shared" si="7"/>
        <v>げき</v>
      </c>
      <c r="Y37" s="1" t="str">
        <f t="shared" si="7"/>
        <v/>
      </c>
      <c r="Z37" s="1" t="str">
        <f t="shared" si="7"/>
        <v/>
      </c>
      <c r="AA37" s="1" t="str">
        <f t="shared" si="7"/>
        <v>たい</v>
      </c>
      <c r="AB37" s="1" t="str">
        <f t="shared" si="7"/>
        <v>けん</v>
      </c>
      <c r="AC37" s="1" t="str">
        <f t="shared" si="7"/>
        <v/>
      </c>
      <c r="AD37" s="1" t="str">
        <f t="shared" si="7"/>
        <v/>
      </c>
      <c r="AE37" s="1" t="str">
        <f t="shared" ref="AE37:AO37" si="8">IF(F10="","",F10)</f>
        <v>五</v>
      </c>
      <c r="AF37" s="1" t="str">
        <f t="shared" si="8"/>
        <v>感</v>
      </c>
      <c r="AG37" s="1" t="str">
        <f t="shared" si="8"/>
        <v>を</v>
      </c>
      <c r="AH37" s="1" t="str">
        <f t="shared" si="8"/>
        <v>刺</v>
      </c>
      <c r="AI37" s="1" t="str">
        <f t="shared" si="8"/>
        <v>激</v>
      </c>
      <c r="AJ37" s="1" t="str">
        <f t="shared" si="8"/>
        <v>す</v>
      </c>
      <c r="AK37" s="1" t="str">
        <f t="shared" si="8"/>
        <v>る</v>
      </c>
      <c r="AL37" s="1" t="str">
        <f t="shared" si="8"/>
        <v>体</v>
      </c>
      <c r="AM37" s="1" t="str">
        <f t="shared" si="8"/>
        <v>験</v>
      </c>
      <c r="AN37" s="1" t="str">
        <f t="shared" si="8"/>
        <v/>
      </c>
      <c r="AO37" s="1" t="str">
        <f t="shared" si="8"/>
        <v/>
      </c>
    </row>
    <row r="38" spans="17:41" x14ac:dyDescent="0.15">
      <c r="Q38" s="1">
        <f t="shared" ca="1" si="4"/>
        <v>0.13085086277785885</v>
      </c>
      <c r="R38" s="1">
        <f ca="1">IF(印刷シート!$ED$2="する",RANK(Q38,$Q$35:$Q$42,0),4)</f>
        <v>8</v>
      </c>
      <c r="S38" s="15" t="str">
        <f>E2</f>
        <v>解</v>
      </c>
      <c r="T38" s="1" t="str">
        <f t="shared" ref="T38:AD38" si="9">IF(F13="","",F13)</f>
        <v>なつ</v>
      </c>
      <c r="U38" s="1" t="str">
        <f t="shared" si="9"/>
        <v/>
      </c>
      <c r="V38" s="1" t="str">
        <f t="shared" si="9"/>
        <v/>
      </c>
      <c r="W38" s="1" t="str">
        <f t="shared" si="9"/>
        <v/>
      </c>
      <c r="X38" s="1" t="str">
        <f t="shared" si="9"/>
        <v>こ</v>
      </c>
      <c r="Y38" s="1" t="str">
        <f t="shared" si="9"/>
        <v>きょう</v>
      </c>
      <c r="Z38" s="1" t="str">
        <f t="shared" si="9"/>
        <v/>
      </c>
      <c r="AA38" s="1" t="str">
        <f t="shared" si="9"/>
        <v>あじ</v>
      </c>
      <c r="AB38" s="1" t="str">
        <f t="shared" si="9"/>
        <v/>
      </c>
      <c r="AC38" s="1" t="str">
        <f t="shared" si="9"/>
        <v/>
      </c>
      <c r="AD38" s="1" t="str">
        <f t="shared" si="9"/>
        <v/>
      </c>
      <c r="AE38" s="1" t="str">
        <f t="shared" ref="AE38:AO38" si="10">IF(F12="","",F12)</f>
        <v>懐</v>
      </c>
      <c r="AF38" s="1" t="str">
        <f t="shared" si="10"/>
        <v>か</v>
      </c>
      <c r="AG38" s="1" t="str">
        <f t="shared" si="10"/>
        <v>し</v>
      </c>
      <c r="AH38" s="1" t="str">
        <f t="shared" si="10"/>
        <v>い</v>
      </c>
      <c r="AI38" s="1" t="str">
        <f t="shared" si="10"/>
        <v>故</v>
      </c>
      <c r="AJ38" s="1" t="str">
        <f t="shared" si="10"/>
        <v>郷</v>
      </c>
      <c r="AK38" s="1" t="str">
        <f t="shared" si="10"/>
        <v>の</v>
      </c>
      <c r="AL38" s="1" t="str">
        <f t="shared" si="10"/>
        <v>味</v>
      </c>
      <c r="AM38" s="1" t="str">
        <f t="shared" si="10"/>
        <v/>
      </c>
      <c r="AN38" s="1" t="str">
        <f t="shared" si="10"/>
        <v/>
      </c>
      <c r="AO38" s="1" t="str">
        <f t="shared" si="10"/>
        <v/>
      </c>
    </row>
    <row r="39" spans="17:41" x14ac:dyDescent="0.15">
      <c r="Q39" s="1">
        <f t="shared" ca="1" si="4"/>
        <v>0.50823131524419285</v>
      </c>
      <c r="R39" s="1">
        <f ca="1">IF(印刷シート!$ED$2="する",RANK(Q39,$Q$35:$Q$42,0),5)</f>
        <v>5</v>
      </c>
      <c r="S39" s="15" t="str">
        <f>F2</f>
        <v>郷</v>
      </c>
      <c r="T39" s="1" t="str">
        <f t="shared" ref="T39:AD39" si="11">IF(F15="","",F15)</f>
        <v>き</v>
      </c>
      <c r="U39" s="1" t="str">
        <f t="shared" si="11"/>
        <v>せつ</v>
      </c>
      <c r="V39" s="1" t="str">
        <f t="shared" si="11"/>
        <v/>
      </c>
      <c r="W39" s="1" t="str">
        <f t="shared" si="11"/>
        <v>へん</v>
      </c>
      <c r="X39" s="1" t="str">
        <f t="shared" si="11"/>
        <v>か</v>
      </c>
      <c r="Y39" s="1" t="str">
        <f t="shared" si="11"/>
        <v/>
      </c>
      <c r="Z39" s="1" t="str">
        <f t="shared" si="11"/>
        <v>こころ</v>
      </c>
      <c r="AA39" s="1" t="str">
        <f t="shared" si="11"/>
        <v/>
      </c>
      <c r="AB39" s="1" t="str">
        <f t="shared" si="11"/>
        <v>かたむ</v>
      </c>
      <c r="AC39" s="1" t="str">
        <f t="shared" si="11"/>
        <v/>
      </c>
      <c r="AD39" s="1" t="str">
        <f t="shared" si="11"/>
        <v/>
      </c>
      <c r="AE39" s="1" t="str">
        <f t="shared" ref="AE39:AO39" si="12">IF(F14="","",F14)</f>
        <v>季</v>
      </c>
      <c r="AF39" s="1" t="str">
        <f t="shared" si="12"/>
        <v>節</v>
      </c>
      <c r="AG39" s="1" t="str">
        <f t="shared" si="12"/>
        <v>の</v>
      </c>
      <c r="AH39" s="1" t="str">
        <f t="shared" si="12"/>
        <v>変</v>
      </c>
      <c r="AI39" s="1" t="str">
        <f t="shared" si="12"/>
        <v>化</v>
      </c>
      <c r="AJ39" s="1" t="str">
        <f t="shared" si="12"/>
        <v>に</v>
      </c>
      <c r="AK39" s="1" t="str">
        <f t="shared" si="12"/>
        <v>心</v>
      </c>
      <c r="AL39" s="1" t="str">
        <f t="shared" si="12"/>
        <v>を</v>
      </c>
      <c r="AM39" s="1" t="str">
        <f t="shared" si="12"/>
        <v>傾</v>
      </c>
      <c r="AN39" s="1" t="str">
        <f t="shared" si="12"/>
        <v>け</v>
      </c>
      <c r="AO39" s="1" t="str">
        <f t="shared" si="12"/>
        <v>る</v>
      </c>
    </row>
    <row r="40" spans="17:41" x14ac:dyDescent="0.15">
      <c r="Q40" s="1">
        <f t="shared" ca="1" si="4"/>
        <v>0.28880554138021242</v>
      </c>
      <c r="R40" s="1">
        <f ca="1">IF(印刷シート!$ED$2="する",RANK(Q40,$Q$35:$Q$42,0),6)</f>
        <v>6</v>
      </c>
      <c r="S40" s="15" t="str">
        <f>G2</f>
        <v>傾</v>
      </c>
      <c r="T40" s="1" t="str">
        <f t="shared" ref="T40:AD40" si="13">IF(F17="","",F17)</f>
        <v>あつ</v>
      </c>
      <c r="U40" s="1" t="str">
        <f t="shared" si="13"/>
        <v/>
      </c>
      <c r="V40" s="1" t="str">
        <f t="shared" si="13"/>
        <v/>
      </c>
      <c r="W40" s="1" t="str">
        <f t="shared" si="13"/>
        <v>かわ</v>
      </c>
      <c r="X40" s="1" t="str">
        <f t="shared" si="13"/>
        <v/>
      </c>
      <c r="Y40" s="1" t="str">
        <f t="shared" si="13"/>
        <v/>
      </c>
      <c r="Z40" s="1" t="str">
        <f t="shared" si="13"/>
        <v>た</v>
      </c>
      <c r="AA40" s="1" t="str">
        <f t="shared" si="13"/>
        <v/>
      </c>
      <c r="AB40" s="1" t="str">
        <f t="shared" si="13"/>
        <v/>
      </c>
      <c r="AC40" s="1" t="str">
        <f t="shared" si="13"/>
        <v/>
      </c>
      <c r="AD40" s="1" t="str">
        <f t="shared" si="13"/>
        <v/>
      </c>
      <c r="AE40" s="1" t="str">
        <f t="shared" ref="AE40:AO40" si="14">IF(F16="","",F16)</f>
        <v>暑</v>
      </c>
      <c r="AF40" s="1" t="str">
        <f t="shared" si="14"/>
        <v>さ</v>
      </c>
      <c r="AG40" s="1" t="str">
        <f t="shared" si="14"/>
        <v>と</v>
      </c>
      <c r="AH40" s="1" t="str">
        <f t="shared" si="14"/>
        <v>乾</v>
      </c>
      <c r="AI40" s="1" t="str">
        <f t="shared" si="14"/>
        <v>き</v>
      </c>
      <c r="AJ40" s="1" t="str">
        <f t="shared" si="14"/>
        <v>に</v>
      </c>
      <c r="AK40" s="1" t="str">
        <f t="shared" si="14"/>
        <v>耐</v>
      </c>
      <c r="AL40" s="1" t="str">
        <f t="shared" si="14"/>
        <v>え</v>
      </c>
      <c r="AM40" s="1" t="str">
        <f t="shared" si="14"/>
        <v>る</v>
      </c>
      <c r="AN40" s="1" t="str">
        <f t="shared" si="14"/>
        <v/>
      </c>
      <c r="AO40" s="1" t="str">
        <f t="shared" si="14"/>
        <v/>
      </c>
    </row>
    <row r="41" spans="17:41" x14ac:dyDescent="0.15">
      <c r="Q41" s="1">
        <f t="shared" ca="1" si="4"/>
        <v>0.84812028603409628</v>
      </c>
      <c r="R41" s="1">
        <f ca="1">IF(印刷シート!$ED$2="する",RANK(Q41,$Q$35:$Q$42,0),7)</f>
        <v>1</v>
      </c>
      <c r="S41" s="15" t="str">
        <f>H2</f>
        <v>抑</v>
      </c>
      <c r="T41" s="1" t="str">
        <f t="shared" ref="T41:AD41" si="15">IF(F19="","",F19)</f>
        <v>うみ</v>
      </c>
      <c r="U41" s="1" t="str">
        <f t="shared" si="15"/>
        <v/>
      </c>
      <c r="V41" s="1" t="str">
        <f t="shared" si="15"/>
        <v>こ</v>
      </c>
      <c r="W41" s="1" t="str">
        <f t="shared" si="15"/>
        <v/>
      </c>
      <c r="X41" s="1" t="str">
        <f t="shared" si="15"/>
        <v/>
      </c>
      <c r="Y41" s="1" t="str">
        <f t="shared" si="15"/>
        <v>おとず</v>
      </c>
      <c r="Z41" s="1" t="str">
        <f t="shared" si="15"/>
        <v/>
      </c>
      <c r="AA41" s="1" t="str">
        <f t="shared" si="15"/>
        <v/>
      </c>
      <c r="AB41" s="1" t="str">
        <f t="shared" si="15"/>
        <v>ゆう</v>
      </c>
      <c r="AC41" s="1" t="str">
        <f t="shared" si="15"/>
        <v>じん</v>
      </c>
      <c r="AD41" s="1" t="str">
        <f t="shared" si="15"/>
        <v/>
      </c>
      <c r="AE41" s="1" t="str">
        <f t="shared" ref="AE41:AO41" si="16">IF(F18="","",F18)</f>
        <v>海</v>
      </c>
      <c r="AF41" s="1" t="str">
        <f t="shared" si="16"/>
        <v>を</v>
      </c>
      <c r="AG41" s="1" t="str">
        <f t="shared" si="16"/>
        <v>越</v>
      </c>
      <c r="AH41" s="1" t="str">
        <f t="shared" si="16"/>
        <v>え</v>
      </c>
      <c r="AI41" s="1" t="str">
        <f t="shared" si="16"/>
        <v>て</v>
      </c>
      <c r="AJ41" s="1" t="str">
        <f t="shared" si="16"/>
        <v>訪</v>
      </c>
      <c r="AK41" s="1" t="str">
        <f t="shared" si="16"/>
        <v>れ</v>
      </c>
      <c r="AL41" s="1" t="str">
        <f t="shared" si="16"/>
        <v>た</v>
      </c>
      <c r="AM41" s="1" t="str">
        <f t="shared" si="16"/>
        <v>友</v>
      </c>
      <c r="AN41" s="1" t="str">
        <f t="shared" si="16"/>
        <v>人</v>
      </c>
      <c r="AO41" s="1" t="str">
        <f t="shared" si="16"/>
        <v/>
      </c>
    </row>
    <row r="42" spans="17:41" x14ac:dyDescent="0.15">
      <c r="Q42" s="1">
        <f t="shared" ca="1" si="4"/>
        <v>0.66219437451659491</v>
      </c>
      <c r="R42" s="1">
        <f ca="1">IF(印刷シート!$ED$2="する",RANK(Q42,$Q$35:$Q$42,0),8)</f>
        <v>3</v>
      </c>
      <c r="S42" s="15" t="str">
        <f>I2</f>
        <v>乱</v>
      </c>
      <c r="T42" s="1" t="str">
        <f t="shared" ref="T42:AD42" si="17">IF(F21="","",F21)</f>
        <v/>
      </c>
      <c r="U42" s="1" t="str">
        <f t="shared" si="17"/>
        <v/>
      </c>
      <c r="V42" s="1" t="str">
        <f t="shared" si="17"/>
        <v/>
      </c>
      <c r="W42" s="1" t="str">
        <f t="shared" si="17"/>
        <v/>
      </c>
      <c r="X42" s="1" t="str">
        <f t="shared" si="17"/>
        <v>は</v>
      </c>
      <c r="Y42" s="1" t="str">
        <f t="shared" si="17"/>
        <v>へん</v>
      </c>
      <c r="Z42" s="1" t="str">
        <f t="shared" si="17"/>
        <v/>
      </c>
      <c r="AA42" s="1" t="str">
        <f t="shared" si="17"/>
        <v>さん</v>
      </c>
      <c r="AB42" s="1" t="str">
        <f t="shared" si="17"/>
        <v>らん</v>
      </c>
      <c r="AC42" s="1" t="str">
        <f t="shared" si="17"/>
        <v/>
      </c>
      <c r="AD42" s="1" t="str">
        <f t="shared" si="17"/>
        <v/>
      </c>
      <c r="AE42" s="1" t="str">
        <f t="shared" ref="AE42:AO42" si="18">IF(F20="","",F20)</f>
        <v>ガ</v>
      </c>
      <c r="AF42" s="1" t="str">
        <f t="shared" si="18"/>
        <v>ラ</v>
      </c>
      <c r="AG42" s="1" t="str">
        <f t="shared" si="18"/>
        <v>ス</v>
      </c>
      <c r="AH42" s="1" t="str">
        <f t="shared" si="18"/>
        <v>の</v>
      </c>
      <c r="AI42" s="1" t="str">
        <f t="shared" si="18"/>
        <v>破</v>
      </c>
      <c r="AJ42" s="1" t="str">
        <f t="shared" si="18"/>
        <v>片</v>
      </c>
      <c r="AK42" s="1" t="str">
        <f t="shared" si="18"/>
        <v>が</v>
      </c>
      <c r="AL42" s="1" t="str">
        <f t="shared" si="18"/>
        <v>散</v>
      </c>
      <c r="AM42" s="1" t="str">
        <f t="shared" si="18"/>
        <v>乱</v>
      </c>
      <c r="AN42" s="1" t="str">
        <f t="shared" si="18"/>
        <v>す</v>
      </c>
      <c r="AO42" s="1" t="str">
        <f t="shared" si="18"/>
        <v>る</v>
      </c>
    </row>
  </sheetData>
  <sheetProtection selectLockedCells="1"/>
  <mergeCells count="39">
    <mergeCell ref="A18:A19"/>
    <mergeCell ref="H2:H3"/>
    <mergeCell ref="E18:E19"/>
    <mergeCell ref="A12:A13"/>
    <mergeCell ref="E2:E3"/>
    <mergeCell ref="E12:E13"/>
    <mergeCell ref="B10:D11"/>
    <mergeCell ref="B12:D13"/>
    <mergeCell ref="A6:A7"/>
    <mergeCell ref="B2:B3"/>
    <mergeCell ref="E6:E7"/>
    <mergeCell ref="A8:A9"/>
    <mergeCell ref="C2:C3"/>
    <mergeCell ref="E8:E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O2:O3"/>
    <mergeCell ref="P2:P3"/>
    <mergeCell ref="B6:D7"/>
    <mergeCell ref="B8:D9"/>
    <mergeCell ref="L2:L3"/>
    <mergeCell ref="M2:M3"/>
    <mergeCell ref="N2:N3"/>
    <mergeCell ref="J2:J3"/>
    <mergeCell ref="K2:K3"/>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5" x14ac:dyDescent="0.15"/>
  <cols>
    <col min="3" max="8" width="1.75" customWidth="1"/>
    <col min="13" max="76" width="4.5" customWidth="1"/>
  </cols>
  <sheetData>
    <row r="1" spans="1:8" ht="63" customHeight="1" x14ac:dyDescent="0.15">
      <c r="A1" t="s">
        <v>14</v>
      </c>
      <c r="B1" t="s">
        <v>15</v>
      </c>
      <c r="C1" s="109"/>
      <c r="D1" s="110"/>
      <c r="E1" s="110"/>
      <c r="F1" s="110"/>
      <c r="G1" s="110"/>
      <c r="H1" s="111"/>
    </row>
    <row r="2" spans="1:8" ht="63" customHeight="1" x14ac:dyDescent="0.15">
      <c r="A2" t="s">
        <v>16</v>
      </c>
      <c r="B2" t="s">
        <v>17</v>
      </c>
      <c r="C2" s="109"/>
      <c r="D2" s="110"/>
      <c r="E2" s="110"/>
      <c r="F2" s="110"/>
      <c r="G2" s="110"/>
      <c r="H2" s="111"/>
    </row>
    <row r="3" spans="1:8" ht="63" customHeight="1" x14ac:dyDescent="0.15">
      <c r="A3" t="s">
        <v>18</v>
      </c>
      <c r="B3" t="s">
        <v>19</v>
      </c>
      <c r="C3" s="109"/>
      <c r="D3" s="110"/>
      <c r="E3" s="110"/>
      <c r="F3" s="110"/>
      <c r="G3" s="110"/>
      <c r="H3" s="111"/>
    </row>
    <row r="4" spans="1:8" ht="63" customHeight="1" x14ac:dyDescent="0.15">
      <c r="A4" t="s">
        <v>20</v>
      </c>
      <c r="B4" t="s">
        <v>21</v>
      </c>
      <c r="C4" s="109"/>
      <c r="D4" s="110"/>
      <c r="E4" s="110"/>
      <c r="F4" s="110"/>
      <c r="G4" s="110"/>
      <c r="H4" s="111"/>
    </row>
    <row r="5" spans="1:8" ht="63" customHeight="1" x14ac:dyDescent="0.15">
      <c r="A5" t="s">
        <v>22</v>
      </c>
      <c r="B5" t="s">
        <v>23</v>
      </c>
      <c r="C5" s="109"/>
      <c r="D5" s="110"/>
      <c r="E5" s="110"/>
      <c r="F5" s="110"/>
      <c r="G5" s="110"/>
      <c r="H5" s="111"/>
    </row>
    <row r="6" spans="1:8" ht="63" customHeight="1" x14ac:dyDescent="0.15">
      <c r="A6" t="s">
        <v>24</v>
      </c>
      <c r="B6" t="s">
        <v>25</v>
      </c>
      <c r="C6" s="109"/>
      <c r="D6" s="110"/>
      <c r="E6" s="110"/>
      <c r="F6" s="110"/>
      <c r="G6" s="110"/>
      <c r="H6" s="111"/>
    </row>
    <row r="7" spans="1:8" ht="63" customHeight="1" x14ac:dyDescent="0.15">
      <c r="A7" t="s">
        <v>26</v>
      </c>
      <c r="B7" t="s">
        <v>27</v>
      </c>
      <c r="C7" s="109"/>
      <c r="D7" s="110"/>
      <c r="E7" s="110"/>
      <c r="F7" s="110"/>
      <c r="G7" s="110"/>
      <c r="H7" s="111"/>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2025-08-08T04:25:45Z</cp:lastPrinted>
  <dcterms:created xsi:type="dcterms:W3CDTF">2011-08-04T02:55:31Z</dcterms:created>
  <dcterms:modified xsi:type="dcterms:W3CDTF">2025-08-08T04:26:05Z</dcterms:modified>
  <cp:category/>
  <cp:contentStatus/>
</cp:coreProperties>
</file>