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2年生\単元別漢字（中2）\"/>
    </mc:Choice>
  </mc:AlternateContent>
  <xr:revisionPtr revIDLastSave="0" documentId="13_ncr:1_{E61B9341-E209-4530-9F0B-D9E256A0C9A4}"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<sst xmlns="http://schemas.openxmlformats.org/spreadsheetml/2006/main" count="102" uniqueCount="100">
  <si>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</si>
  <si>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</si>
  <si>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</si>
  <si>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</si>
  <si>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</si>
  <si>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</si>
  <si>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</si>
  <si>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</si>
  <si>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</si>
  <si>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</si>
  <si>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</si>
  <si>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</si>
  <si>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</si>
  <si>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</si>
  <si>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</si>
  <si>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</si>
  <si>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</si>
  <si>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</si>
  <si>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</si>
  <si>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</si>
  <si>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</si>
  <si>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</si>
  <si>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</si>
  <si>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</si>
  <si>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</si>
  <si>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</si>
  <si>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</si>
  <si>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</si>
  <si>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がく</t>
    <phoneticPr fontId="1"/>
  </si>
  <si>
    <t>2-漢字を③</t>
    <rPh sb="2" eb="4">
      <t>カンジ</t>
    </rPh>
    <phoneticPr fontId="1"/>
  </si>
  <si>
    <t>部活への入部を勧める</t>
    <rPh sb="0" eb="2">
      <t>ブカツ</t>
    </rPh>
    <rPh sb="4" eb="6">
      <t>ニュウブ</t>
    </rPh>
    <rPh sb="7" eb="8">
      <t>スス</t>
    </rPh>
    <phoneticPr fontId="1"/>
  </si>
  <si>
    <t>草原を馬が疾走する</t>
    <rPh sb="0" eb="2">
      <t>ソウゲン</t>
    </rPh>
    <rPh sb="3" eb="4">
      <t>ウマ</t>
    </rPh>
    <rPh sb="5" eb="7">
      <t>シッソウ</t>
    </rPh>
    <phoneticPr fontId="1"/>
  </si>
  <si>
    <t>基礎を大切に学習する</t>
    <rPh sb="0" eb="2">
      <t>キソ</t>
    </rPh>
    <rPh sb="3" eb="5">
      <t>タイセツ</t>
    </rPh>
    <rPh sb="6" eb="8">
      <t>ガクシュウ</t>
    </rPh>
    <phoneticPr fontId="1"/>
  </si>
  <si>
    <t>相手に寄り添って励ます</t>
    <rPh sb="0" eb="2">
      <t>アイテ</t>
    </rPh>
    <rPh sb="3" eb="4">
      <t>ヨ</t>
    </rPh>
    <rPh sb="5" eb="6">
      <t>ソ</t>
    </rPh>
    <rPh sb="8" eb="9">
      <t>ハゲ</t>
    </rPh>
    <phoneticPr fontId="1"/>
  </si>
  <si>
    <t>進級のお祝いを贈る</t>
    <rPh sb="0" eb="2">
      <t>シンキュウ</t>
    </rPh>
    <rPh sb="4" eb="5">
      <t>イワ</t>
    </rPh>
    <rPh sb="7" eb="8">
      <t>オク</t>
    </rPh>
    <phoneticPr fontId="1"/>
  </si>
  <si>
    <t>間隔を空けて駐車する</t>
    <rPh sb="0" eb="2">
      <t>カンカク</t>
    </rPh>
    <rPh sb="3" eb="4">
      <t>ア</t>
    </rPh>
    <rPh sb="6" eb="8">
      <t>チュウシャ</t>
    </rPh>
    <phoneticPr fontId="1"/>
  </si>
  <si>
    <t>壮大な計画を暴露する</t>
    <rPh sb="0" eb="2">
      <t>ソウダイ</t>
    </rPh>
    <rPh sb="3" eb="5">
      <t>ケイカク</t>
    </rPh>
    <rPh sb="6" eb="8">
      <t>バクロ</t>
    </rPh>
    <phoneticPr fontId="1"/>
  </si>
  <si>
    <t>素朴な疑問を投げかける</t>
    <rPh sb="0" eb="2">
      <t>ソボク</t>
    </rPh>
    <rPh sb="3" eb="5">
      <t>ギモン</t>
    </rPh>
    <rPh sb="6" eb="7">
      <t>ナ</t>
    </rPh>
    <phoneticPr fontId="1"/>
  </si>
  <si>
    <t>朴</t>
    <rPh sb="0" eb="1">
      <t>ボク</t>
    </rPh>
    <phoneticPr fontId="1"/>
  </si>
  <si>
    <t>素</t>
    <rPh sb="0" eb="1">
      <t>ス</t>
    </rPh>
    <phoneticPr fontId="1"/>
  </si>
  <si>
    <t>疾</t>
    <rPh sb="0" eb="1">
      <t>シツ</t>
    </rPh>
    <phoneticPr fontId="1"/>
  </si>
  <si>
    <t>走</t>
    <rPh sb="0" eb="1">
      <t>ソウ</t>
    </rPh>
    <phoneticPr fontId="1"/>
  </si>
  <si>
    <t>礎</t>
    <rPh sb="0" eb="1">
      <t>ソ</t>
    </rPh>
    <phoneticPr fontId="1"/>
  </si>
  <si>
    <t>基</t>
    <rPh sb="0" eb="1">
      <t>キ</t>
    </rPh>
    <phoneticPr fontId="1"/>
  </si>
  <si>
    <t>励</t>
    <rPh sb="0" eb="1">
      <t>ハゲ</t>
    </rPh>
    <phoneticPr fontId="1"/>
  </si>
  <si>
    <t>贈</t>
    <rPh sb="0" eb="1">
      <t>オク</t>
    </rPh>
    <phoneticPr fontId="1"/>
  </si>
  <si>
    <t>間</t>
    <rPh sb="0" eb="1">
      <t>カン</t>
    </rPh>
    <phoneticPr fontId="1"/>
  </si>
  <si>
    <t>隔</t>
    <rPh sb="0" eb="1">
      <t>カク</t>
    </rPh>
    <phoneticPr fontId="1"/>
  </si>
  <si>
    <t>車</t>
    <rPh sb="0" eb="1">
      <t>クルマ</t>
    </rPh>
    <phoneticPr fontId="1"/>
  </si>
  <si>
    <t>駐</t>
    <rPh sb="0" eb="1">
      <t>チュウ</t>
    </rPh>
    <phoneticPr fontId="1"/>
  </si>
  <si>
    <t>壮</t>
    <rPh sb="0" eb="1">
      <t>ソウ</t>
    </rPh>
    <phoneticPr fontId="1"/>
  </si>
  <si>
    <t>ぶ</t>
    <phoneticPr fontId="1"/>
  </si>
  <si>
    <t>かつ</t>
    <phoneticPr fontId="1"/>
  </si>
  <si>
    <t>にゅう</t>
    <phoneticPr fontId="1"/>
  </si>
  <si>
    <t>すす</t>
    <phoneticPr fontId="1"/>
  </si>
  <si>
    <t>そう</t>
    <phoneticPr fontId="1"/>
  </si>
  <si>
    <t>しっ</t>
    <phoneticPr fontId="1"/>
  </si>
  <si>
    <t>うま</t>
    <phoneticPr fontId="1"/>
  </si>
  <si>
    <t>げん</t>
    <phoneticPr fontId="1"/>
  </si>
  <si>
    <t>そう</t>
    <phoneticPr fontId="1"/>
  </si>
  <si>
    <t>き</t>
    <phoneticPr fontId="1"/>
  </si>
  <si>
    <t>そ</t>
    <phoneticPr fontId="1"/>
  </si>
  <si>
    <t>たい</t>
    <phoneticPr fontId="1"/>
  </si>
  <si>
    <t>せつ</t>
    <phoneticPr fontId="1"/>
  </si>
  <si>
    <t>しゅう</t>
    <phoneticPr fontId="1"/>
  </si>
  <si>
    <t>はげ</t>
    <phoneticPr fontId="1"/>
  </si>
  <si>
    <t>そ</t>
    <phoneticPr fontId="1"/>
  </si>
  <si>
    <t>よ</t>
    <phoneticPr fontId="1"/>
  </si>
  <si>
    <t>て</t>
    <phoneticPr fontId="1"/>
  </si>
  <si>
    <t>あい</t>
    <phoneticPr fontId="1"/>
  </si>
  <si>
    <t>しん</t>
    <phoneticPr fontId="1"/>
  </si>
  <si>
    <t>きゅう</t>
    <phoneticPr fontId="1"/>
  </si>
  <si>
    <t>いわ</t>
    <phoneticPr fontId="1"/>
  </si>
  <si>
    <t>おく</t>
    <phoneticPr fontId="1"/>
  </si>
  <si>
    <t>しゃ</t>
    <phoneticPr fontId="1"/>
  </si>
  <si>
    <t>ちゅう</t>
    <phoneticPr fontId="1"/>
  </si>
  <si>
    <t>あ</t>
    <phoneticPr fontId="1"/>
  </si>
  <si>
    <t>かく</t>
    <phoneticPr fontId="1"/>
  </si>
  <si>
    <t>かん</t>
    <phoneticPr fontId="1"/>
  </si>
  <si>
    <t>ぼく</t>
    <phoneticPr fontId="1"/>
  </si>
  <si>
    <t>ぎ</t>
    <phoneticPr fontId="1"/>
  </si>
  <si>
    <t>もん</t>
    <phoneticPr fontId="1"/>
  </si>
  <si>
    <t>な</t>
    <phoneticPr fontId="1"/>
  </si>
  <si>
    <t>ろ</t>
    <phoneticPr fontId="1"/>
  </si>
  <si>
    <t>ばく</t>
    <phoneticPr fontId="1"/>
  </si>
  <si>
    <t>かく</t>
    <phoneticPr fontId="1"/>
  </si>
  <si>
    <t>けい</t>
    <phoneticPr fontId="1"/>
  </si>
  <si>
    <t>だい</t>
    <phoneticPr fontId="1"/>
  </si>
  <si>
    <t>そう</t>
    <phoneticPr fontId="1"/>
  </si>
  <si>
    <t>耳鼻科</t>
    <rPh sb="0" eb="3">
      <t>ジビカ</t>
    </rPh>
    <phoneticPr fontId="1"/>
  </si>
  <si>
    <t>浪費</t>
    <rPh sb="0" eb="2">
      <t>ロウヒ</t>
    </rPh>
    <phoneticPr fontId="1"/>
  </si>
  <si>
    <t>勧誘</t>
    <rPh sb="0" eb="2">
      <t>カンユウ</t>
    </rPh>
    <phoneticPr fontId="1"/>
  </si>
  <si>
    <t>名簿</t>
    <rPh sb="0" eb="2">
      <t>メイボ</t>
    </rPh>
    <phoneticPr fontId="1"/>
  </si>
  <si>
    <t>推薦</t>
    <rPh sb="0" eb="2">
      <t>スイセン</t>
    </rPh>
    <phoneticPr fontId="1"/>
  </si>
  <si>
    <t>間を隔てる</t>
    <rPh sb="0" eb="1">
      <t>アイダ</t>
    </rPh>
    <rPh sb="2" eb="3">
      <t>ヘダ</t>
    </rPh>
    <phoneticPr fontId="1"/>
  </si>
  <si>
    <t>湾曲</t>
    <rPh sb="0" eb="2">
      <t>ワンキョク</t>
    </rPh>
    <phoneticPr fontId="1"/>
  </si>
  <si>
    <t>本を薦める</t>
    <rPh sb="0" eb="1">
      <t>ホン</t>
    </rPh>
    <rPh sb="2" eb="3">
      <t>スス</t>
    </rPh>
    <phoneticPr fontId="1"/>
  </si>
  <si>
    <t>なし</t>
  </si>
  <si>
    <t>勧</t>
    <rPh sb="0" eb="1">
      <t>ススム</t>
    </rPh>
    <phoneticPr fontId="1"/>
  </si>
  <si>
    <t>大</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</si>
</sst>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207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208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208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208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208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208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208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208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208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208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208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209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209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209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209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DI42" sqref="DI4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91" width="1.75" style="1" customWidth="1"/>
    <col min="192" max="16384" width="9" style="1"/>
  </cols>
  <sheetData>
    <row r="1" spans="1:181" ht="46.5" x14ac:dyDescent="0.1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25" thickBot="1" x14ac:dyDescent="0.2">
      <c r="A2" s="86" t="s">
        <v>97</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15"/>
    <row r="4" spans="1:181" ht="63" customHeight="1" thickBot="1" x14ac:dyDescent="0.2">
      <c r="A4" s="78" t="str">
        <f>問題文入力シート!B2</f>
        <v>勧</v>
      </c>
      <c r="B4" s="79"/>
      <c r="C4" s="79"/>
      <c r="D4" s="79"/>
      <c r="E4" s="79"/>
      <c r="F4" s="79"/>
      <c r="G4" s="78" t="str">
        <f>問題文入力シート!C2</f>
        <v>朴</v>
      </c>
      <c r="H4" s="79"/>
      <c r="I4" s="79"/>
      <c r="J4" s="79"/>
      <c r="K4" s="79"/>
      <c r="L4" s="79"/>
      <c r="M4" s="78" t="str">
        <f>問題文入力シート!D2</f>
        <v>壮</v>
      </c>
      <c r="N4" s="79"/>
      <c r="O4" s="79"/>
      <c r="P4" s="79"/>
      <c r="Q4" s="79"/>
      <c r="R4" s="79"/>
      <c r="S4" s="78" t="str">
        <f>問題文入力シート!E2</f>
        <v>礎</v>
      </c>
      <c r="T4" s="79"/>
      <c r="U4" s="79"/>
      <c r="V4" s="79"/>
      <c r="W4" s="79"/>
      <c r="X4" s="79"/>
      <c r="Y4" s="78" t="str">
        <f>問題文入力シート!F2</f>
        <v>間</v>
      </c>
      <c r="Z4" s="79"/>
      <c r="AA4" s="79"/>
      <c r="AB4" s="79"/>
      <c r="AC4" s="79"/>
      <c r="AD4" s="79"/>
      <c r="AE4" s="78" t="str">
        <f>問題文入力シート!G2</f>
        <v>疾</v>
      </c>
      <c r="AF4" s="79"/>
      <c r="AG4" s="79"/>
      <c r="AH4" s="79"/>
      <c r="AI4" s="79"/>
      <c r="AJ4" s="79"/>
      <c r="AK4" s="78" t="str">
        <f>問題文入力シート!H2</f>
        <v>素</v>
      </c>
      <c r="AL4" s="79"/>
      <c r="AM4" s="79"/>
      <c r="AN4" s="79"/>
      <c r="AO4" s="79"/>
      <c r="AP4" s="79"/>
      <c r="AQ4" s="78" t="str">
        <f>問題文入力シート!I2</f>
        <v>基</v>
      </c>
      <c r="AR4" s="79"/>
      <c r="AS4" s="79"/>
      <c r="AT4" s="79"/>
      <c r="AU4" s="79"/>
      <c r="AV4" s="79"/>
      <c r="AW4" s="78" t="str">
        <f>問題文入力シート!J2</f>
        <v>車</v>
      </c>
      <c r="AX4" s="79"/>
      <c r="AY4" s="79"/>
      <c r="AZ4" s="79"/>
      <c r="BA4" s="79"/>
      <c r="BB4" s="79"/>
      <c r="BC4" s="78" t="str">
        <f>問題文入力シート!K2</f>
        <v>贈</v>
      </c>
      <c r="BD4" s="79"/>
      <c r="BE4" s="79"/>
      <c r="BF4" s="79"/>
      <c r="BG4" s="79"/>
      <c r="BH4" s="79"/>
      <c r="BI4" s="78" t="str">
        <f>問題文入力シート!L2</f>
        <v>大</v>
      </c>
      <c r="BJ4" s="79"/>
      <c r="BK4" s="79"/>
      <c r="BL4" s="79"/>
      <c r="BM4" s="79"/>
      <c r="BN4" s="79"/>
      <c r="BO4" s="78" t="str">
        <f>問題文入力シート!M2</f>
        <v>走</v>
      </c>
      <c r="BP4" s="79"/>
      <c r="BQ4" s="79"/>
      <c r="BR4" s="79"/>
      <c r="BS4" s="79"/>
      <c r="BT4" s="79"/>
      <c r="BU4" s="78" t="str">
        <f>問題文入力シート!N2</f>
        <v>隔</v>
      </c>
      <c r="BV4" s="79"/>
      <c r="BW4" s="79"/>
      <c r="BX4" s="79"/>
      <c r="BY4" s="79"/>
      <c r="BZ4" s="79"/>
      <c r="CA4" s="78" t="str">
        <f>問題文入力シート!O2</f>
        <v>駐</v>
      </c>
      <c r="CB4" s="79"/>
      <c r="CC4" s="79"/>
      <c r="CD4" s="79"/>
      <c r="CE4" s="79"/>
      <c r="CF4" s="79"/>
      <c r="CG4" s="78" t="str">
        <f>問題文入力シート!P2</f>
        <v>励</v>
      </c>
      <c r="CH4" s="79"/>
      <c r="CI4" s="79"/>
      <c r="CJ4" s="79"/>
      <c r="CK4" s="79"/>
      <c r="CL4" s="92"/>
      <c r="CM4" s="29" t="s">
        <v>9</v>
      </c>
      <c r="CN4" s="30"/>
      <c r="CO4" s="30"/>
      <c r="CP4" s="30"/>
      <c r="CQ4" s="30"/>
      <c r="CR4" s="31"/>
      <c r="EE4" s="3"/>
      <c r="EY4" s="3"/>
      <c r="FS4" s="3"/>
    </row>
    <row r="5" spans="1:181" ht="12.95" customHeight="1" thickBot="1" x14ac:dyDescent="0.2">
      <c r="A5" s="21" t="str">
        <f ca="1">VLOOKUP(8,list,14,FALSE)</f>
        <v>壮</v>
      </c>
      <c r="B5" s="22"/>
      <c r="C5" s="22"/>
      <c r="D5" s="22"/>
      <c r="E5" s="23"/>
      <c r="F5" s="52" t="str">
        <f ca="1">IF($AA$2="入れる",VLOOKUP(8,list,3,FALSE),"")</f>
        <v>そう</v>
      </c>
      <c r="G5" s="48"/>
      <c r="H5" s="48"/>
      <c r="I5" s="49"/>
      <c r="J5" s="21" t="str">
        <f ca="1">VLOOKUP(7,list,14,FALSE)</f>
        <v>進</v>
      </c>
      <c r="K5" s="22"/>
      <c r="L5" s="22"/>
      <c r="M5" s="22"/>
      <c r="N5" s="23"/>
      <c r="O5" s="52" t="str">
        <f ca="1">IF($AA$2="入れる",VLOOKUP(7,list,3,FALSE),"")</f>
        <v>しん</v>
      </c>
      <c r="P5" s="48"/>
      <c r="Q5" s="48"/>
      <c r="R5" s="49"/>
      <c r="S5" s="21" t="str">
        <f ca="1">VLOOKUP(6,list,14,FALSE)</f>
        <v>素</v>
      </c>
      <c r="T5" s="22"/>
      <c r="U5" s="22"/>
      <c r="V5" s="22"/>
      <c r="W5" s="23"/>
      <c r="X5" s="52" t="str">
        <f ca="1">IF($AA$2="入れる",VLOOKUP(6,list,3,FALSE),"")</f>
        <v>そ</v>
      </c>
      <c r="Y5" s="48"/>
      <c r="Z5" s="48"/>
      <c r="AA5" s="49"/>
      <c r="AB5" s="21" t="str">
        <f ca="1">VLOOKUP(5,list,14,FALSE)</f>
        <v>草</v>
      </c>
      <c r="AC5" s="22"/>
      <c r="AD5" s="22"/>
      <c r="AE5" s="22"/>
      <c r="AF5" s="23"/>
      <c r="AG5" s="52" t="str">
        <f ca="1">IF($AA$2="入れる",VLOOKUP(5,list,3,FALSE),"")</f>
        <v>そう</v>
      </c>
      <c r="AH5" s="48"/>
      <c r="AI5" s="48"/>
      <c r="AJ5" s="49"/>
      <c r="AK5" s="21" t="str">
        <f ca="1">VLOOKUP(4,list,14,FALSE)</f>
        <v>部</v>
      </c>
      <c r="AL5" s="22"/>
      <c r="AM5" s="22"/>
      <c r="AN5" s="22"/>
      <c r="AO5" s="23"/>
      <c r="AP5" s="52" t="str">
        <f ca="1">IF($AA$2="入れる",VLOOKUP(4,list,3,FALSE),"")</f>
        <v>ぶ</v>
      </c>
      <c r="AQ5" s="48"/>
      <c r="AR5" s="48"/>
      <c r="AS5" s="49"/>
      <c r="AT5" s="21" t="str">
        <f ca="1">VLOOKUP(3,list,14,FALSE)</f>
        <v>相</v>
      </c>
      <c r="AU5" s="22"/>
      <c r="AV5" s="22"/>
      <c r="AW5" s="22"/>
      <c r="AX5" s="23"/>
      <c r="AY5" s="52" t="str">
        <f ca="1">IF($AA$2="入れる",VLOOKUP(3,list,3,FALSE),"")</f>
        <v>あい</v>
      </c>
      <c r="AZ5" s="48"/>
      <c r="BA5" s="48"/>
      <c r="BB5" s="49"/>
      <c r="BC5" s="21" t="str">
        <f ca="1">VLOOKUP(2,list,14,FALSE)</f>
        <v>間</v>
      </c>
      <c r="BD5" s="22"/>
      <c r="BE5" s="22"/>
      <c r="BF5" s="22"/>
      <c r="BG5" s="23"/>
      <c r="BH5" s="52" t="str">
        <f ca="1">IF($AA$2="入れる",VLOOKUP(2,list,3,FALSE),"")</f>
        <v>かん</v>
      </c>
      <c r="BI5" s="48"/>
      <c r="BJ5" s="48"/>
      <c r="BK5" s="48"/>
      <c r="BL5" s="21" t="str">
        <f ca="1">VLOOKUP(1,list,14,FALSE)</f>
        <v>基</v>
      </c>
      <c r="BM5" s="22"/>
      <c r="BN5" s="22"/>
      <c r="BO5" s="22"/>
      <c r="BP5" s="23"/>
      <c r="BQ5" s="48" t="str">
        <f ca="1">IF($AA$2="入れる",VLOOKUP(1,list,3,FALSE),"")</f>
        <v>き</v>
      </c>
      <c r="BR5" s="48"/>
      <c r="BS5" s="48"/>
      <c r="BT5" s="49"/>
      <c r="BU5" s="41" t="str">
        <f ca="1">VLOOKUP(5,yomi,2,FALSE)</f>
        <v>名簿</v>
      </c>
      <c r="BV5" s="42"/>
      <c r="BW5" s="42"/>
      <c r="BX5" s="45"/>
      <c r="BY5" s="42"/>
      <c r="BZ5" s="42"/>
      <c r="CA5" s="42"/>
      <c r="CB5" s="42"/>
      <c r="CC5" s="42"/>
      <c r="CD5" s="41" t="str">
        <f ca="1">VLOOKUP(1,yomi,2,FALSE)</f>
        <v>耳鼻科</v>
      </c>
      <c r="CE5" s="42"/>
      <c r="CF5" s="42"/>
      <c r="CG5" s="45"/>
      <c r="CH5" s="42"/>
      <c r="CI5" s="42"/>
      <c r="CJ5" s="42"/>
      <c r="CK5" s="42"/>
      <c r="CL5" s="42"/>
      <c r="CM5" s="32"/>
      <c r="CN5" s="33"/>
      <c r="CO5" s="33"/>
      <c r="CP5" s="33"/>
      <c r="CQ5" s="33"/>
      <c r="CR5" s="34"/>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2.95" customHeight="1" thickBot="1" x14ac:dyDescent="0.2">
      <c r="A9" s="21" t="str">
        <f ca="1">VLOOKUP(8,list,15,FALSE)</f>
        <v>大</v>
      </c>
      <c r="B9" s="22"/>
      <c r="C9" s="22"/>
      <c r="D9" s="22"/>
      <c r="E9" s="23"/>
      <c r="F9" s="54" t="str">
        <f ca="1">IF($AA$2="入れる",VLOOKUP(8,list,4,FALSE),"")</f>
        <v>だい</v>
      </c>
      <c r="G9" s="27"/>
      <c r="H9" s="27"/>
      <c r="I9" s="51"/>
      <c r="J9" s="21" t="str">
        <f ca="1">VLOOKUP(7,list,15,FALSE)</f>
        <v>級</v>
      </c>
      <c r="K9" s="22"/>
      <c r="L9" s="22"/>
      <c r="M9" s="22"/>
      <c r="N9" s="23"/>
      <c r="O9" s="54" t="str">
        <f ca="1">IF($AA$2="入れる",VLOOKUP(7,list,4,FALSE),"")</f>
        <v>きゅう</v>
      </c>
      <c r="P9" s="27"/>
      <c r="Q9" s="27"/>
      <c r="R9" s="51"/>
      <c r="S9" s="21" t="str">
        <f ca="1">VLOOKUP(6,list,15,FALSE)</f>
        <v>朴</v>
      </c>
      <c r="T9" s="22"/>
      <c r="U9" s="22"/>
      <c r="V9" s="22"/>
      <c r="W9" s="23"/>
      <c r="X9" s="54" t="str">
        <f ca="1">IF($AA$2="入れる",VLOOKUP(6,list,4,FALSE),"")</f>
        <v>ぼく</v>
      </c>
      <c r="Y9" s="27"/>
      <c r="Z9" s="27"/>
      <c r="AA9" s="51"/>
      <c r="AB9" s="21" t="str">
        <f ca="1">VLOOKUP(5,list,15,FALSE)</f>
        <v>原</v>
      </c>
      <c r="AC9" s="22"/>
      <c r="AD9" s="22"/>
      <c r="AE9" s="22"/>
      <c r="AF9" s="23"/>
      <c r="AG9" s="54" t="str">
        <f ca="1">IF($AA$2="入れる",VLOOKUP(5,list,4,FALSE),"")</f>
        <v>げん</v>
      </c>
      <c r="AH9" s="27"/>
      <c r="AI9" s="27"/>
      <c r="AJ9" s="51"/>
      <c r="AK9" s="21" t="str">
        <f ca="1">VLOOKUP(4,list,15,FALSE)</f>
        <v>活</v>
      </c>
      <c r="AL9" s="22"/>
      <c r="AM9" s="22"/>
      <c r="AN9" s="22"/>
      <c r="AO9" s="23"/>
      <c r="AP9" s="54" t="str">
        <f ca="1">IF($AA$2="入れる",VLOOKUP(4,list,4,FALSE),"")</f>
        <v>かつ</v>
      </c>
      <c r="AQ9" s="27"/>
      <c r="AR9" s="27"/>
      <c r="AS9" s="51"/>
      <c r="AT9" s="21" t="str">
        <f ca="1">VLOOKUP(3,list,15,FALSE)</f>
        <v>手</v>
      </c>
      <c r="AU9" s="22"/>
      <c r="AV9" s="22"/>
      <c r="AW9" s="22"/>
      <c r="AX9" s="23"/>
      <c r="AY9" s="54" t="str">
        <f ca="1">IF($AA$2="入れる",VLOOKUP(3,list,4,FALSE),"")</f>
        <v>て</v>
      </c>
      <c r="AZ9" s="27"/>
      <c r="BA9" s="27"/>
      <c r="BB9" s="51"/>
      <c r="BC9" s="21" t="str">
        <f ca="1">VLOOKUP(2,list,15,FALSE)</f>
        <v>隔</v>
      </c>
      <c r="BD9" s="22"/>
      <c r="BE9" s="22"/>
      <c r="BF9" s="22"/>
      <c r="BG9" s="23"/>
      <c r="BH9" s="54" t="str">
        <f ca="1">IF($AA$2="入れる",VLOOKUP(2,list,4,FALSE),"")</f>
        <v>かく</v>
      </c>
      <c r="BI9" s="27"/>
      <c r="BJ9" s="27"/>
      <c r="BK9" s="27"/>
      <c r="BL9" s="21" t="str">
        <f ca="1">VLOOKUP(1,list,15,FALSE)</f>
        <v>礎</v>
      </c>
      <c r="BM9" s="22"/>
      <c r="BN9" s="22"/>
      <c r="BO9" s="22"/>
      <c r="BP9" s="23"/>
      <c r="BQ9" s="27" t="str">
        <f ca="1">IF($AA$2="入れる",VLOOKUP(1,list,4,FALSE),"")</f>
        <v>そ</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な</v>
      </c>
      <c r="B13" s="22"/>
      <c r="C13" s="22"/>
      <c r="D13" s="22"/>
      <c r="E13" s="23"/>
      <c r="F13" s="54" t="str">
        <f ca="1">IF($AA$2="入れる",VLOOKUP(8,list,5,FALSE),"")</f>
        <v/>
      </c>
      <c r="G13" s="27"/>
      <c r="H13" s="27"/>
      <c r="I13" s="51"/>
      <c r="J13" s="21" t="str">
        <f ca="1">VLOOKUP(7,list,16,FALSE)</f>
        <v>の</v>
      </c>
      <c r="K13" s="22"/>
      <c r="L13" s="22"/>
      <c r="M13" s="22"/>
      <c r="N13" s="23"/>
      <c r="O13" s="54" t="str">
        <f ca="1">IF($AA$2="入れる",VLOOKUP(7,list,5,FALSE),"")</f>
        <v/>
      </c>
      <c r="P13" s="27"/>
      <c r="Q13" s="27"/>
      <c r="R13" s="51"/>
      <c r="S13" s="21" t="str">
        <f ca="1">VLOOKUP(6,list,16,FALSE)</f>
        <v>な</v>
      </c>
      <c r="T13" s="22"/>
      <c r="U13" s="22"/>
      <c r="V13" s="22"/>
      <c r="W13" s="23"/>
      <c r="X13" s="54" t="str">
        <f ca="1">IF($AA$2="入れる",VLOOKUP(6,list,5,FALSE),"")</f>
        <v/>
      </c>
      <c r="Y13" s="27"/>
      <c r="Z13" s="27"/>
      <c r="AA13" s="51"/>
      <c r="AB13" s="21" t="str">
        <f ca="1">VLOOKUP(5,list,16,FALSE)</f>
        <v>を</v>
      </c>
      <c r="AC13" s="22"/>
      <c r="AD13" s="22"/>
      <c r="AE13" s="22"/>
      <c r="AF13" s="23"/>
      <c r="AG13" s="54" t="str">
        <f ca="1">IF($AA$2="入れる",VLOOKUP(5,list,5,FALSE),"")</f>
        <v/>
      </c>
      <c r="AH13" s="27"/>
      <c r="AI13" s="27"/>
      <c r="AJ13" s="51"/>
      <c r="AK13" s="21" t="str">
        <f ca="1">VLOOKUP(4,list,16,FALSE)</f>
        <v>へ</v>
      </c>
      <c r="AL13" s="22"/>
      <c r="AM13" s="22"/>
      <c r="AN13" s="22"/>
      <c r="AO13" s="23"/>
      <c r="AP13" s="54" t="str">
        <f ca="1">IF($AA$2="入れる",VLOOKUP(4,list,5,FALSE),"")</f>
        <v/>
      </c>
      <c r="AQ13" s="27"/>
      <c r="AR13" s="27"/>
      <c r="AS13" s="51"/>
      <c r="AT13" s="21" t="str">
        <f ca="1">VLOOKUP(3,list,16,FALSE)</f>
        <v>に</v>
      </c>
      <c r="AU13" s="22"/>
      <c r="AV13" s="22"/>
      <c r="AW13" s="22"/>
      <c r="AX13" s="23"/>
      <c r="AY13" s="54" t="str">
        <f ca="1">IF($AA$2="入れる",VLOOKUP(3,list,5,FALSE),"")</f>
        <v/>
      </c>
      <c r="AZ13" s="27"/>
      <c r="BA13" s="27"/>
      <c r="BB13" s="51"/>
      <c r="BC13" s="21" t="str">
        <f ca="1">VLOOKUP(2,list,16,FALSE)</f>
        <v>を</v>
      </c>
      <c r="BD13" s="22"/>
      <c r="BE13" s="22"/>
      <c r="BF13" s="22"/>
      <c r="BG13" s="23"/>
      <c r="BH13" s="54" t="str">
        <f ca="1">IF($AA$2="入れる",VLOOKUP(2,list,5,FALSE),"")</f>
        <v/>
      </c>
      <c r="BI13" s="27"/>
      <c r="BJ13" s="27"/>
      <c r="BK13" s="27"/>
      <c r="BL13" s="21" t="str">
        <f ca="1">VLOOKUP(1,list,16,FALSE)</f>
        <v>を</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間を隔てる</v>
      </c>
      <c r="BV16" s="42"/>
      <c r="BW16" s="42"/>
      <c r="BX16" s="45"/>
      <c r="BY16" s="42"/>
      <c r="BZ16" s="42"/>
      <c r="CA16" s="42"/>
      <c r="CB16" s="42"/>
      <c r="CC16" s="42"/>
      <c r="CD16" s="41" t="str">
        <f ca="1">VLOOKUP(2,yomi,2,FALSE)</f>
        <v>湾曲</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計</v>
      </c>
      <c r="B17" s="22"/>
      <c r="C17" s="22"/>
      <c r="D17" s="22"/>
      <c r="E17" s="23"/>
      <c r="F17" s="54" t="str">
        <f ca="1">IF($AA$2="入れる",VLOOKUP(8,list,6,FALSE),"")</f>
        <v>けい</v>
      </c>
      <c r="G17" s="27"/>
      <c r="H17" s="27"/>
      <c r="I17" s="51"/>
      <c r="J17" s="21" t="str">
        <f ca="1">VLOOKUP(7,list,17,FALSE)</f>
        <v>お</v>
      </c>
      <c r="K17" s="22"/>
      <c r="L17" s="22"/>
      <c r="M17" s="22"/>
      <c r="N17" s="23"/>
      <c r="O17" s="54" t="str">
        <f ca="1">IF($AA$2="入れる",VLOOKUP(7,list,6,FALSE),"")</f>
        <v/>
      </c>
      <c r="P17" s="27"/>
      <c r="Q17" s="27"/>
      <c r="R17" s="51"/>
      <c r="S17" s="21" t="str">
        <f ca="1">VLOOKUP(6,list,17,FALSE)</f>
        <v>疑</v>
      </c>
      <c r="T17" s="22"/>
      <c r="U17" s="22"/>
      <c r="V17" s="22"/>
      <c r="W17" s="23"/>
      <c r="X17" s="54" t="str">
        <f ca="1">IF($AA$2="入れる",VLOOKUP(6,list,6,FALSE),"")</f>
        <v>ぎ</v>
      </c>
      <c r="Y17" s="27"/>
      <c r="Z17" s="27"/>
      <c r="AA17" s="51"/>
      <c r="AB17" s="21" t="str">
        <f ca="1">VLOOKUP(5,list,17,FALSE)</f>
        <v>馬</v>
      </c>
      <c r="AC17" s="22"/>
      <c r="AD17" s="22"/>
      <c r="AE17" s="22"/>
      <c r="AF17" s="23"/>
      <c r="AG17" s="54" t="str">
        <f ca="1">IF($AA$2="入れる",VLOOKUP(5,list,6,FALSE),"")</f>
        <v>うま</v>
      </c>
      <c r="AH17" s="27"/>
      <c r="AI17" s="27"/>
      <c r="AJ17" s="51"/>
      <c r="AK17" s="21" t="str">
        <f ca="1">VLOOKUP(4,list,17,FALSE)</f>
        <v>の</v>
      </c>
      <c r="AL17" s="22"/>
      <c r="AM17" s="22"/>
      <c r="AN17" s="22"/>
      <c r="AO17" s="23"/>
      <c r="AP17" s="54" t="str">
        <f ca="1">IF($AA$2="入れる",VLOOKUP(4,list,6,FALSE),"")</f>
        <v/>
      </c>
      <c r="AQ17" s="27"/>
      <c r="AR17" s="27"/>
      <c r="AS17" s="51"/>
      <c r="AT17" s="21" t="str">
        <f ca="1">VLOOKUP(3,list,17,FALSE)</f>
        <v>寄</v>
      </c>
      <c r="AU17" s="22"/>
      <c r="AV17" s="22"/>
      <c r="AW17" s="22"/>
      <c r="AX17" s="23"/>
      <c r="AY17" s="54" t="str">
        <f ca="1">IF($AA$2="入れる",VLOOKUP(3,list,6,FALSE),"")</f>
        <v>よ</v>
      </c>
      <c r="AZ17" s="27"/>
      <c r="BA17" s="27"/>
      <c r="BB17" s="51"/>
      <c r="BC17" s="21" t="str">
        <f ca="1">VLOOKUP(2,list,17,FALSE)</f>
        <v>空</v>
      </c>
      <c r="BD17" s="22"/>
      <c r="BE17" s="22"/>
      <c r="BF17" s="22"/>
      <c r="BG17" s="23"/>
      <c r="BH17" s="54" t="str">
        <f ca="1">IF($AA$2="入れる",VLOOKUP(2,list,6,FALSE),"")</f>
        <v>あ</v>
      </c>
      <c r="BI17" s="27"/>
      <c r="BJ17" s="27"/>
      <c r="BK17" s="27"/>
      <c r="BL17" s="21" t="str">
        <f ca="1">VLOOKUP(1,list,17,FALSE)</f>
        <v>大</v>
      </c>
      <c r="BM17" s="22"/>
      <c r="BN17" s="22"/>
      <c r="BO17" s="22"/>
      <c r="BP17" s="23"/>
      <c r="BQ17" s="27" t="str">
        <f ca="1">IF($AA$2="入れる",VLOOKUP(1,list,6,FALSE),"")</f>
        <v>たい</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2.95" customHeight="1" thickBot="1" x14ac:dyDescent="0.2">
      <c r="A21" s="21" t="str">
        <f ca="1">VLOOKUP(8,list,18,FALSE)</f>
        <v>画</v>
      </c>
      <c r="B21" s="22"/>
      <c r="C21" s="22"/>
      <c r="D21" s="22"/>
      <c r="E21" s="23"/>
      <c r="F21" s="54" t="str">
        <f ca="1">IF($AA$2="入れる",VLOOKUP(8,list,7,FALSE),"")</f>
        <v>かく</v>
      </c>
      <c r="G21" s="27"/>
      <c r="H21" s="27"/>
      <c r="I21" s="51"/>
      <c r="J21" s="21" t="str">
        <f ca="1">VLOOKUP(7,list,18,FALSE)</f>
        <v>祝</v>
      </c>
      <c r="K21" s="22"/>
      <c r="L21" s="22"/>
      <c r="M21" s="22"/>
      <c r="N21" s="23"/>
      <c r="O21" s="54" t="str">
        <f ca="1">IF($AA$2="入れる",VLOOKUP(7,list,7,FALSE),"")</f>
        <v>いわ</v>
      </c>
      <c r="P21" s="27"/>
      <c r="Q21" s="27"/>
      <c r="R21" s="51"/>
      <c r="S21" s="21" t="str">
        <f ca="1">VLOOKUP(6,list,18,FALSE)</f>
        <v>問</v>
      </c>
      <c r="T21" s="22"/>
      <c r="U21" s="22"/>
      <c r="V21" s="22"/>
      <c r="W21" s="23"/>
      <c r="X21" s="54" t="str">
        <f ca="1">IF($AA$2="入れる",VLOOKUP(6,list,7,FALSE),"")</f>
        <v>もん</v>
      </c>
      <c r="Y21" s="27"/>
      <c r="Z21" s="27"/>
      <c r="AA21" s="51"/>
      <c r="AB21" s="21" t="str">
        <f ca="1">VLOOKUP(5,list,18,FALSE)</f>
        <v>が</v>
      </c>
      <c r="AC21" s="22"/>
      <c r="AD21" s="22"/>
      <c r="AE21" s="22"/>
      <c r="AF21" s="23"/>
      <c r="AG21" s="54" t="str">
        <f ca="1">IF($AA$2="入れる",VLOOKUP(5,list,7,FALSE),"")</f>
        <v/>
      </c>
      <c r="AH21" s="27"/>
      <c r="AI21" s="27"/>
      <c r="AJ21" s="51"/>
      <c r="AK21" s="21" t="str">
        <f ca="1">VLOOKUP(4,list,18,FALSE)</f>
        <v>入</v>
      </c>
      <c r="AL21" s="22"/>
      <c r="AM21" s="22"/>
      <c r="AN21" s="22"/>
      <c r="AO21" s="23"/>
      <c r="AP21" s="54" t="str">
        <f ca="1">IF($AA$2="入れる",VLOOKUP(4,list,7,FALSE),"")</f>
        <v>にゅう</v>
      </c>
      <c r="AQ21" s="27"/>
      <c r="AR21" s="27"/>
      <c r="AS21" s="51"/>
      <c r="AT21" s="21" t="str">
        <f ca="1">VLOOKUP(3,list,18,FALSE)</f>
        <v>り</v>
      </c>
      <c r="AU21" s="22"/>
      <c r="AV21" s="22"/>
      <c r="AW21" s="22"/>
      <c r="AX21" s="23"/>
      <c r="AY21" s="54" t="str">
        <f ca="1">IF($AA$2="入れる",VLOOKUP(3,list,7,FALSE),"")</f>
        <v/>
      </c>
      <c r="AZ21" s="27"/>
      <c r="BA21" s="27"/>
      <c r="BB21" s="51"/>
      <c r="BC21" s="21" t="str">
        <f ca="1">VLOOKUP(2,list,18,FALSE)</f>
        <v>け</v>
      </c>
      <c r="BD21" s="22"/>
      <c r="BE21" s="22"/>
      <c r="BF21" s="22"/>
      <c r="BG21" s="23"/>
      <c r="BH21" s="54" t="str">
        <f ca="1">IF($AA$2="入れる",VLOOKUP(2,list,7,FALSE),"")</f>
        <v/>
      </c>
      <c r="BI21" s="27"/>
      <c r="BJ21" s="27"/>
      <c r="BK21" s="27"/>
      <c r="BL21" s="21" t="str">
        <f ca="1">VLOOKUP(1,list,18,FALSE)</f>
        <v>切</v>
      </c>
      <c r="BM21" s="22"/>
      <c r="BN21" s="22"/>
      <c r="BO21" s="22"/>
      <c r="BP21" s="23"/>
      <c r="BQ21" s="27" t="str">
        <f ca="1">IF($AA$2="入れる",VLOOKUP(1,list,7,FALSE),"")</f>
        <v>せつ</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2.95" customHeight="1" thickBot="1" x14ac:dyDescent="0.2">
      <c r="A25" s="21" t="str">
        <f ca="1">VLOOKUP(8,list,19,FALSE)</f>
        <v>を</v>
      </c>
      <c r="B25" s="22"/>
      <c r="C25" s="22"/>
      <c r="D25" s="22"/>
      <c r="E25" s="23"/>
      <c r="F25" s="54" t="str">
        <f ca="1">IF($AA$2="入れる",VLOOKUP(8,list,8,FALSE),"")</f>
        <v/>
      </c>
      <c r="G25" s="27"/>
      <c r="H25" s="27"/>
      <c r="I25" s="51"/>
      <c r="J25" s="21" t="str">
        <f ca="1">VLOOKUP(7,list,19,FALSE)</f>
        <v>い</v>
      </c>
      <c r="K25" s="22"/>
      <c r="L25" s="22"/>
      <c r="M25" s="22"/>
      <c r="N25" s="23"/>
      <c r="O25" s="54" t="str">
        <f ca="1">IF($AA$2="入れる",VLOOKUP(7,list,8,FALSE),"")</f>
        <v/>
      </c>
      <c r="P25" s="27"/>
      <c r="Q25" s="27"/>
      <c r="R25" s="51"/>
      <c r="S25" s="21" t="str">
        <f ca="1">VLOOKUP(6,list,19,FALSE)</f>
        <v>を</v>
      </c>
      <c r="T25" s="22"/>
      <c r="U25" s="22"/>
      <c r="V25" s="22"/>
      <c r="W25" s="23"/>
      <c r="X25" s="54" t="str">
        <f ca="1">IF($AA$2="入れる",VLOOKUP(6,list,8,FALSE),"")</f>
        <v/>
      </c>
      <c r="Y25" s="27"/>
      <c r="Z25" s="27"/>
      <c r="AA25" s="51"/>
      <c r="AB25" s="21" t="str">
        <f ca="1">VLOOKUP(5,list,19,FALSE)</f>
        <v>疾</v>
      </c>
      <c r="AC25" s="22"/>
      <c r="AD25" s="22"/>
      <c r="AE25" s="22"/>
      <c r="AF25" s="23"/>
      <c r="AG25" s="54" t="str">
        <f ca="1">IF($AA$2="入れる",VLOOKUP(5,list,8,FALSE),"")</f>
        <v>しっ</v>
      </c>
      <c r="AH25" s="27"/>
      <c r="AI25" s="27"/>
      <c r="AJ25" s="51"/>
      <c r="AK25" s="21" t="str">
        <f ca="1">VLOOKUP(4,list,19,FALSE)</f>
        <v>部</v>
      </c>
      <c r="AL25" s="22"/>
      <c r="AM25" s="22"/>
      <c r="AN25" s="22"/>
      <c r="AO25" s="23"/>
      <c r="AP25" s="54" t="str">
        <f ca="1">IF($AA$2="入れる",VLOOKUP(4,list,8,FALSE),"")</f>
        <v>ぶ</v>
      </c>
      <c r="AQ25" s="27"/>
      <c r="AR25" s="27"/>
      <c r="AS25" s="51"/>
      <c r="AT25" s="21" t="str">
        <f ca="1">VLOOKUP(3,list,19,FALSE)</f>
        <v>添</v>
      </c>
      <c r="AU25" s="22"/>
      <c r="AV25" s="22"/>
      <c r="AW25" s="22"/>
      <c r="AX25" s="23"/>
      <c r="AY25" s="54" t="str">
        <f ca="1">IF($AA$2="入れる",VLOOKUP(3,list,8,FALSE),"")</f>
        <v>そ</v>
      </c>
      <c r="AZ25" s="27"/>
      <c r="BA25" s="27"/>
      <c r="BB25" s="51"/>
      <c r="BC25" s="21" t="str">
        <f ca="1">VLOOKUP(2,list,19,FALSE)</f>
        <v>て</v>
      </c>
      <c r="BD25" s="22"/>
      <c r="BE25" s="22"/>
      <c r="BF25" s="22"/>
      <c r="BG25" s="23"/>
      <c r="BH25" s="54" t="str">
        <f ca="1">IF($AA$2="入れる",VLOOKUP(2,list,8,FALSE),"")</f>
        <v/>
      </c>
      <c r="BI25" s="27"/>
      <c r="BJ25" s="27"/>
      <c r="BK25" s="27"/>
      <c r="BL25" s="21" t="str">
        <f ca="1">VLOOKUP(1,list,19,FALSE)</f>
        <v>に</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勧誘</v>
      </c>
      <c r="BV27" s="42"/>
      <c r="BW27" s="42"/>
      <c r="BX27" s="45"/>
      <c r="BY27" s="42"/>
      <c r="BZ27" s="42"/>
      <c r="CA27" s="42"/>
      <c r="CB27" s="42"/>
      <c r="CC27" s="42"/>
      <c r="CD27" s="41" t="str">
        <f ca="1">VLOOKUP(3,yomi,2,FALSE)</f>
        <v>本を薦める</v>
      </c>
      <c r="CE27" s="42"/>
      <c r="CF27" s="42"/>
      <c r="CG27" s="45"/>
      <c r="CH27" s="42"/>
      <c r="CI27" s="42"/>
      <c r="CJ27" s="42"/>
      <c r="CK27" s="42"/>
      <c r="CL27" s="42"/>
      <c r="CM27" s="71"/>
      <c r="CN27" s="69"/>
      <c r="CO27" s="69"/>
      <c r="CP27" s="69"/>
      <c r="CQ27" s="69"/>
      <c r="CR27" s="70"/>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2.95" customHeight="1" thickBot="1" x14ac:dyDescent="0.2">
      <c r="A29" s="21" t="str">
        <f ca="1">VLOOKUP(8,list,20,FALSE)</f>
        <v>暴</v>
      </c>
      <c r="B29" s="22"/>
      <c r="C29" s="22"/>
      <c r="D29" s="22"/>
      <c r="E29" s="23"/>
      <c r="F29" s="54" t="str">
        <f ca="1">IF($AA$2="入れる",VLOOKUP(8,list,9,FALSE),"")</f>
        <v>ばく</v>
      </c>
      <c r="G29" s="27"/>
      <c r="H29" s="27"/>
      <c r="I29" s="51"/>
      <c r="J29" s="21" t="str">
        <f ca="1">VLOOKUP(7,list,20,FALSE)</f>
        <v>を</v>
      </c>
      <c r="K29" s="22"/>
      <c r="L29" s="22"/>
      <c r="M29" s="22"/>
      <c r="N29" s="23"/>
      <c r="O29" s="54" t="str">
        <f ca="1">IF($AA$2="入れる",VLOOKUP(7,list,9,FALSE),"")</f>
        <v/>
      </c>
      <c r="P29" s="27"/>
      <c r="Q29" s="27"/>
      <c r="R29" s="51"/>
      <c r="S29" s="21" t="str">
        <f ca="1">VLOOKUP(6,list,20,FALSE)</f>
        <v>投</v>
      </c>
      <c r="T29" s="22"/>
      <c r="U29" s="22"/>
      <c r="V29" s="22"/>
      <c r="W29" s="23"/>
      <c r="X29" s="54" t="str">
        <f ca="1">IF($AA$2="入れる",VLOOKUP(6,list,9,FALSE),"")</f>
        <v>な</v>
      </c>
      <c r="Y29" s="27"/>
      <c r="Z29" s="27"/>
      <c r="AA29" s="51"/>
      <c r="AB29" s="21" t="str">
        <f ca="1">VLOOKUP(5,list,20,FALSE)</f>
        <v>走</v>
      </c>
      <c r="AC29" s="22"/>
      <c r="AD29" s="22"/>
      <c r="AE29" s="22"/>
      <c r="AF29" s="23"/>
      <c r="AG29" s="54" t="str">
        <f ca="1">IF($AA$2="入れる",VLOOKUP(5,list,9,FALSE),"")</f>
        <v>そう</v>
      </c>
      <c r="AH29" s="27"/>
      <c r="AI29" s="27"/>
      <c r="AJ29" s="51"/>
      <c r="AK29" s="21" t="str">
        <f ca="1">VLOOKUP(4,list,20,FALSE)</f>
        <v>を</v>
      </c>
      <c r="AL29" s="22"/>
      <c r="AM29" s="22"/>
      <c r="AN29" s="22"/>
      <c r="AO29" s="23"/>
      <c r="AP29" s="54" t="str">
        <f ca="1">IF($AA$2="入れる",VLOOKUP(4,list,9,FALSE),"")</f>
        <v/>
      </c>
      <c r="AQ29" s="27"/>
      <c r="AR29" s="27"/>
      <c r="AS29" s="51"/>
      <c r="AT29" s="21" t="str">
        <f ca="1">VLOOKUP(3,list,20,FALSE)</f>
        <v>っ</v>
      </c>
      <c r="AU29" s="22"/>
      <c r="AV29" s="22"/>
      <c r="AW29" s="22"/>
      <c r="AX29" s="23"/>
      <c r="AY29" s="54" t="str">
        <f ca="1">IF($AA$2="入れる",VLOOKUP(3,list,9,FALSE),"")</f>
        <v/>
      </c>
      <c r="AZ29" s="27"/>
      <c r="BA29" s="27"/>
      <c r="BB29" s="51"/>
      <c r="BC29" s="21" t="str">
        <f ca="1">VLOOKUP(2,list,20,FALSE)</f>
        <v>駐</v>
      </c>
      <c r="BD29" s="22"/>
      <c r="BE29" s="22"/>
      <c r="BF29" s="22"/>
      <c r="BG29" s="23"/>
      <c r="BH29" s="54" t="str">
        <f ca="1">IF($AA$2="入れる",VLOOKUP(2,list,9,FALSE),"")</f>
        <v>ちゅう</v>
      </c>
      <c r="BI29" s="27"/>
      <c r="BJ29" s="27"/>
      <c r="BK29" s="27"/>
      <c r="BL29" s="21" t="str">
        <f ca="1">VLOOKUP(1,list,20,FALSE)</f>
        <v>学</v>
      </c>
      <c r="BM29" s="22"/>
      <c r="BN29" s="22"/>
      <c r="BO29" s="22"/>
      <c r="BP29" s="23"/>
      <c r="BQ29" s="27" t="str">
        <f ca="1">IF($AA$2="入れる",VLOOKUP(1,list,9,FALSE),"")</f>
        <v>がく</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2.95" customHeight="1" thickBot="1" x14ac:dyDescent="0.2">
      <c r="A33" s="21" t="str">
        <f ca="1">VLOOKUP(8,list,21,FALSE)</f>
        <v>露</v>
      </c>
      <c r="B33" s="22"/>
      <c r="C33" s="22"/>
      <c r="D33" s="22"/>
      <c r="E33" s="23"/>
      <c r="F33" s="54" t="str">
        <f ca="1">IF($AA$2="入れる",VLOOKUP(8,list,10,FALSE),"")</f>
        <v>ろ</v>
      </c>
      <c r="G33" s="27"/>
      <c r="H33" s="27"/>
      <c r="I33" s="51"/>
      <c r="J33" s="21" t="str">
        <f ca="1">VLOOKUP(7,list,21,FALSE)</f>
        <v>贈</v>
      </c>
      <c r="K33" s="22"/>
      <c r="L33" s="22"/>
      <c r="M33" s="22"/>
      <c r="N33" s="23"/>
      <c r="O33" s="54" t="str">
        <f ca="1">IF($AA$2="入れる",VLOOKUP(7,list,10,FALSE),"")</f>
        <v>おく</v>
      </c>
      <c r="P33" s="27"/>
      <c r="Q33" s="27"/>
      <c r="R33" s="51"/>
      <c r="S33" s="21" t="str">
        <f ca="1">VLOOKUP(6,list,21,FALSE)</f>
        <v>げ</v>
      </c>
      <c r="T33" s="22"/>
      <c r="U33" s="22"/>
      <c r="V33" s="22"/>
      <c r="W33" s="23"/>
      <c r="X33" s="54" t="str">
        <f ca="1">IF($AA$2="入れる",VLOOKUP(6,list,10,FALSE),"")</f>
        <v/>
      </c>
      <c r="Y33" s="27"/>
      <c r="Z33" s="27"/>
      <c r="AA33" s="51"/>
      <c r="AB33" s="21" t="str">
        <f ca="1">VLOOKUP(5,list,21,FALSE)</f>
        <v>す</v>
      </c>
      <c r="AC33" s="22"/>
      <c r="AD33" s="22"/>
      <c r="AE33" s="22"/>
      <c r="AF33" s="23"/>
      <c r="AG33" s="54" t="str">
        <f ca="1">IF($AA$2="入れる",VLOOKUP(5,list,10,FALSE),"")</f>
        <v/>
      </c>
      <c r="AH33" s="27"/>
      <c r="AI33" s="27"/>
      <c r="AJ33" s="51"/>
      <c r="AK33" s="21" t="str">
        <f ca="1">VLOOKUP(4,list,21,FALSE)</f>
        <v>勧</v>
      </c>
      <c r="AL33" s="22"/>
      <c r="AM33" s="22"/>
      <c r="AN33" s="22"/>
      <c r="AO33" s="23"/>
      <c r="AP33" s="54" t="str">
        <f ca="1">IF($AA$2="入れる",VLOOKUP(4,list,10,FALSE),"")</f>
        <v>すす</v>
      </c>
      <c r="AQ33" s="27"/>
      <c r="AR33" s="27"/>
      <c r="AS33" s="51"/>
      <c r="AT33" s="21" t="str">
        <f ca="1">VLOOKUP(3,list,21,FALSE)</f>
        <v>て</v>
      </c>
      <c r="AU33" s="22"/>
      <c r="AV33" s="22"/>
      <c r="AW33" s="22"/>
      <c r="AX33" s="23"/>
      <c r="AY33" s="54" t="str">
        <f ca="1">IF($AA$2="入れる",VLOOKUP(3,list,10,FALSE),"")</f>
        <v/>
      </c>
      <c r="AZ33" s="27"/>
      <c r="BA33" s="27"/>
      <c r="BB33" s="51"/>
      <c r="BC33" s="21" t="str">
        <f ca="1">VLOOKUP(2,list,21,FALSE)</f>
        <v>車</v>
      </c>
      <c r="BD33" s="22"/>
      <c r="BE33" s="22"/>
      <c r="BF33" s="22"/>
      <c r="BG33" s="23"/>
      <c r="BH33" s="54" t="str">
        <f ca="1">IF($AA$2="入れる",VLOOKUP(2,list,10,FALSE),"")</f>
        <v>しゃ</v>
      </c>
      <c r="BI33" s="27"/>
      <c r="BJ33" s="27"/>
      <c r="BK33" s="27"/>
      <c r="BL33" s="21" t="str">
        <f ca="1">VLOOKUP(1,list,21,FALSE)</f>
        <v>習</v>
      </c>
      <c r="BM33" s="22"/>
      <c r="BN33" s="22"/>
      <c r="BO33" s="22"/>
      <c r="BP33" s="23"/>
      <c r="BQ33" s="27" t="str">
        <f ca="1">IF($AA$2="入れる",VLOOKUP(1,list,10,FALSE),"")</f>
        <v>しゅう</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2.95" customHeight="1" thickBot="1" x14ac:dyDescent="0.2">
      <c r="A37" s="21" t="str">
        <f ca="1">VLOOKUP(8,list,22,FALSE)</f>
        <v>す</v>
      </c>
      <c r="B37" s="22"/>
      <c r="C37" s="22"/>
      <c r="D37" s="22"/>
      <c r="E37" s="23"/>
      <c r="F37" s="54" t="str">
        <f ca="1">IF($AA$2="入れる",VLOOKUP(8,list,11,FALSE),"")</f>
        <v/>
      </c>
      <c r="G37" s="27"/>
      <c r="H37" s="27"/>
      <c r="I37" s="51"/>
      <c r="J37" s="21" t="str">
        <f ca="1">VLOOKUP(7,list,22,FALSE)</f>
        <v>る</v>
      </c>
      <c r="K37" s="22"/>
      <c r="L37" s="22"/>
      <c r="M37" s="22"/>
      <c r="N37" s="23"/>
      <c r="O37" s="54" t="str">
        <f ca="1">IF($AA$2="入れる",VLOOKUP(7,list,11,FALSE),"")</f>
        <v/>
      </c>
      <c r="P37" s="27"/>
      <c r="Q37" s="27"/>
      <c r="R37" s="51"/>
      <c r="S37" s="21" t="str">
        <f ca="1">VLOOKUP(6,list,22,FALSE)</f>
        <v>か</v>
      </c>
      <c r="T37" s="22"/>
      <c r="U37" s="22"/>
      <c r="V37" s="22"/>
      <c r="W37" s="23"/>
      <c r="X37" s="54" t="str">
        <f ca="1">IF($AA$2="入れる",VLOOKUP(6,list,11,FALSE),"")</f>
        <v/>
      </c>
      <c r="Y37" s="27"/>
      <c r="Z37" s="27"/>
      <c r="AA37" s="51"/>
      <c r="AB37" s="21" t="str">
        <f ca="1">VLOOKUP(5,list,22,FALSE)</f>
        <v>る</v>
      </c>
      <c r="AC37" s="22"/>
      <c r="AD37" s="22"/>
      <c r="AE37" s="22"/>
      <c r="AF37" s="23"/>
      <c r="AG37" s="54" t="str">
        <f ca="1">IF($AA$2="入れる",VLOOKUP(5,list,11,FALSE),"")</f>
        <v/>
      </c>
      <c r="AH37" s="27"/>
      <c r="AI37" s="27"/>
      <c r="AJ37" s="51"/>
      <c r="AK37" s="21" t="str">
        <f ca="1">VLOOKUP(4,list,22,FALSE)</f>
        <v>め</v>
      </c>
      <c r="AL37" s="22"/>
      <c r="AM37" s="22"/>
      <c r="AN37" s="22"/>
      <c r="AO37" s="23"/>
      <c r="AP37" s="54" t="str">
        <f ca="1">IF($AA$2="入れる",VLOOKUP(4,list,11,FALSE),"")</f>
        <v/>
      </c>
      <c r="AQ37" s="27"/>
      <c r="AR37" s="27"/>
      <c r="AS37" s="51"/>
      <c r="AT37" s="21" t="str">
        <f ca="1">VLOOKUP(3,list,22,FALSE)</f>
        <v>励</v>
      </c>
      <c r="AU37" s="22"/>
      <c r="AV37" s="22"/>
      <c r="AW37" s="22"/>
      <c r="AX37" s="23"/>
      <c r="AY37" s="54" t="str">
        <f ca="1">IF($AA$2="入れる",VLOOKUP(3,list,11,FALSE),"")</f>
        <v>はげ</v>
      </c>
      <c r="AZ37" s="27"/>
      <c r="BA37" s="27"/>
      <c r="BB37" s="51"/>
      <c r="BC37" s="21" t="str">
        <f ca="1">VLOOKUP(2,list,22,FALSE)</f>
        <v>す</v>
      </c>
      <c r="BD37" s="22"/>
      <c r="BE37" s="22"/>
      <c r="BF37" s="22"/>
      <c r="BG37" s="23"/>
      <c r="BH37" s="54" t="str">
        <f ca="1">IF($AA$2="入れる",VLOOKUP(2,list,11,FALSE),"")</f>
        <v/>
      </c>
      <c r="BI37" s="27"/>
      <c r="BJ37" s="27"/>
      <c r="BK37" s="27"/>
      <c r="BL37" s="21" t="str">
        <f ca="1">VLOOKUP(1,list,22,FALSE)</f>
        <v>す</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浪費</v>
      </c>
      <c r="BV38" s="42"/>
      <c r="BW38" s="42"/>
      <c r="BX38" s="45"/>
      <c r="BY38" s="42"/>
      <c r="BZ38" s="42"/>
      <c r="CA38" s="42"/>
      <c r="CB38" s="42"/>
      <c r="CC38" s="42"/>
      <c r="CD38" s="41" t="str">
        <f ca="1">VLOOKUP(4,yomi,2,FALSE)</f>
        <v>推薦</v>
      </c>
      <c r="CE38" s="42"/>
      <c r="CF38" s="42"/>
      <c r="CG38" s="45"/>
      <c r="CH38" s="42"/>
      <c r="CI38" s="42"/>
      <c r="CJ38" s="42"/>
      <c r="CK38" s="42"/>
      <c r="CL38" s="42"/>
      <c r="CM38" s="71"/>
      <c r="CN38" s="69"/>
      <c r="CO38" s="69"/>
      <c r="CP38" s="69"/>
      <c r="CQ38" s="69"/>
      <c r="CR38" s="70"/>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2.95" customHeight="1" thickBot="1" x14ac:dyDescent="0.2">
      <c r="A41" s="21" t="str">
        <f ca="1">VLOOKUP(8,list,23,FALSE)</f>
        <v>る</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け</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る</v>
      </c>
      <c r="AL41" s="22"/>
      <c r="AM41" s="22"/>
      <c r="AN41" s="22"/>
      <c r="AO41" s="23"/>
      <c r="AP41" s="54" t="str">
        <f ca="1">IF($AA$2="入れる",VLOOKUP(4,list,12,FALSE),"")</f>
        <v/>
      </c>
      <c r="AQ41" s="27"/>
      <c r="AR41" s="27"/>
      <c r="AS41" s="51"/>
      <c r="AT41" s="21" t="str">
        <f ca="1">VLOOKUP(3,list,23,FALSE)</f>
        <v>ま</v>
      </c>
      <c r="AU41" s="22"/>
      <c r="AV41" s="22"/>
      <c r="AW41" s="22"/>
      <c r="AX41" s="23"/>
      <c r="AY41" s="54" t="str">
        <f ca="1">IF($AA$2="入れる",VLOOKUP(3,list,12,FALSE),"")</f>
        <v/>
      </c>
      <c r="AZ41" s="27"/>
      <c r="BA41" s="27"/>
      <c r="BB41" s="51"/>
      <c r="BC41" s="21" t="str">
        <f ca="1">VLOOKUP(2,list,23,FALSE)</f>
        <v>る</v>
      </c>
      <c r="BD41" s="22"/>
      <c r="BE41" s="22"/>
      <c r="BF41" s="22"/>
      <c r="BG41" s="23"/>
      <c r="BH41" s="54" t="str">
        <f ca="1">IF($AA$2="入れる",VLOOKUP(2,list,12,FALSE),"")</f>
        <v/>
      </c>
      <c r="BI41" s="27"/>
      <c r="BJ41" s="27"/>
      <c r="BK41" s="27"/>
      <c r="BL41" s="21" t="str">
        <f ca="1">VLOOKUP(1,list,23,FALSE)</f>
        <v>る</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る</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す</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29</v>
      </c>
      <c r="CN45" s="56"/>
      <c r="CO45" s="56"/>
      <c r="CP45" s="57"/>
      <c r="CQ45" s="57"/>
      <c r="CR45" s="58"/>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75" x14ac:dyDescent="0.15">
      <c r="A49" s="89"/>
      <c r="B49" s="89"/>
      <c r="C49" s="89"/>
      <c r="D49" s="89"/>
      <c r="E49" s="89"/>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L2" sqref="L2:L3"/>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3" t="s">
        <v>98</v>
      </c>
      <c r="C2" s="95" t="s">
        <v>38</v>
      </c>
      <c r="D2" s="95" t="s">
        <v>50</v>
      </c>
      <c r="E2" s="95" t="s">
        <v>42</v>
      </c>
      <c r="F2" s="95" t="s">
        <v>46</v>
      </c>
      <c r="G2" s="95" t="s">
        <v>40</v>
      </c>
      <c r="H2" s="95" t="s">
        <v>39</v>
      </c>
      <c r="I2" s="95" t="s">
        <v>43</v>
      </c>
      <c r="J2" s="95" t="s">
        <v>48</v>
      </c>
      <c r="K2" s="105" t="s">
        <v>45</v>
      </c>
      <c r="L2" s="105" t="s">
        <v>99</v>
      </c>
      <c r="M2" s="105" t="s">
        <v>41</v>
      </c>
      <c r="N2" s="105" t="s">
        <v>47</v>
      </c>
      <c r="O2" s="105" t="s">
        <v>49</v>
      </c>
      <c r="P2" s="107" t="s">
        <v>44</v>
      </c>
    </row>
    <row r="3" spans="1:16" thickBot="1" x14ac:dyDescent="0.2">
      <c r="B3" s="104"/>
      <c r="C3" s="96"/>
      <c r="D3" s="96"/>
      <c r="E3" s="96"/>
      <c r="F3" s="96"/>
      <c r="G3" s="96"/>
      <c r="H3" s="96"/>
      <c r="I3" s="96"/>
      <c r="J3" s="96"/>
      <c r="K3" s="106"/>
      <c r="L3" s="106"/>
      <c r="M3" s="106"/>
      <c r="N3" s="106"/>
      <c r="O3" s="106"/>
      <c r="P3" s="108"/>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3">
        <v>1</v>
      </c>
      <c r="B6" s="109" t="s">
        <v>30</v>
      </c>
      <c r="C6" s="110"/>
      <c r="D6" s="111"/>
      <c r="E6" s="97">
        <f>LEN(B6)</f>
        <v>10</v>
      </c>
      <c r="F6" s="9" t="str">
        <f>MID(B6,1,1)</f>
        <v>部</v>
      </c>
      <c r="G6" s="10" t="str">
        <f>MID(B6,2,1)</f>
        <v>活</v>
      </c>
      <c r="H6" s="10" t="str">
        <f>MID(B6,3,1)</f>
        <v>へ</v>
      </c>
      <c r="I6" s="10" t="str">
        <f>MID(B6,4,1)</f>
        <v>の</v>
      </c>
      <c r="J6" s="10" t="str">
        <f>MID(B6,5,1)</f>
        <v>入</v>
      </c>
      <c r="K6" s="10" t="str">
        <f>MID(B6,6,1)</f>
        <v>部</v>
      </c>
      <c r="L6" s="10" t="str">
        <f>MID(B6,7,1)</f>
        <v>を</v>
      </c>
      <c r="M6" s="10" t="str">
        <f>MID(B6,8,1)</f>
        <v>勧</v>
      </c>
      <c r="N6" s="10" t="str">
        <f>MID(B6,9,1)</f>
        <v>め</v>
      </c>
      <c r="O6" s="10" t="str">
        <f>MID(B6,10,1)</f>
        <v>る</v>
      </c>
      <c r="P6" s="11" t="str">
        <f>MID(B6,11,1)</f>
        <v/>
      </c>
    </row>
    <row r="7" spans="1:16" thickBot="1" x14ac:dyDescent="0.2">
      <c r="A7" s="94"/>
      <c r="B7" s="102"/>
      <c r="C7" s="100"/>
      <c r="D7" s="101"/>
      <c r="E7" s="98"/>
      <c r="F7" s="12" t="s">
        <v>51</v>
      </c>
      <c r="G7" s="13" t="s">
        <v>52</v>
      </c>
      <c r="H7" s="13"/>
      <c r="I7" s="13"/>
      <c r="J7" s="13" t="s">
        <v>53</v>
      </c>
      <c r="K7" s="13" t="s">
        <v>51</v>
      </c>
      <c r="L7" s="13"/>
      <c r="M7" s="13" t="s">
        <v>54</v>
      </c>
      <c r="N7" s="13"/>
      <c r="O7" s="13"/>
      <c r="P7" s="14"/>
    </row>
    <row r="8" spans="1:16" ht="15" x14ac:dyDescent="0.15">
      <c r="A8" s="93">
        <v>2</v>
      </c>
      <c r="B8" s="99" t="s">
        <v>31</v>
      </c>
      <c r="C8" s="100"/>
      <c r="D8" s="101"/>
      <c r="E8" s="97">
        <f>LEN(B8)</f>
        <v>9</v>
      </c>
      <c r="F8" s="9" t="str">
        <f>MID(B8,1,1)</f>
        <v>草</v>
      </c>
      <c r="G8" s="10" t="str">
        <f>MID(B8,2,1)</f>
        <v>原</v>
      </c>
      <c r="H8" s="10" t="str">
        <f>MID(B8,3,1)</f>
        <v>を</v>
      </c>
      <c r="I8" s="10" t="str">
        <f>MID(B8,4,1)</f>
        <v>馬</v>
      </c>
      <c r="J8" s="10" t="str">
        <f>MID(B8,5,1)</f>
        <v>が</v>
      </c>
      <c r="K8" s="10" t="str">
        <f>MID(B8,6,1)</f>
        <v>疾</v>
      </c>
      <c r="L8" s="10" t="str">
        <f>MID(B8,7,1)</f>
        <v>走</v>
      </c>
      <c r="M8" s="10" t="str">
        <f>MID(B8,8,1)</f>
        <v>す</v>
      </c>
      <c r="N8" s="10" t="str">
        <f>MID(B8,9,1)</f>
        <v>る</v>
      </c>
      <c r="O8" s="10" t="str">
        <f>MID(B8,10,1)</f>
        <v/>
      </c>
      <c r="P8" s="11" t="str">
        <f>MID(B8,11,1)</f>
        <v/>
      </c>
    </row>
    <row r="9" spans="1:16" thickBot="1" x14ac:dyDescent="0.2">
      <c r="A9" s="94"/>
      <c r="B9" s="102"/>
      <c r="C9" s="100"/>
      <c r="D9" s="101"/>
      <c r="E9" s="98"/>
      <c r="F9" s="12" t="s">
        <v>59</v>
      </c>
      <c r="G9" s="13" t="s">
        <v>58</v>
      </c>
      <c r="H9" s="13"/>
      <c r="I9" s="13" t="s">
        <v>57</v>
      </c>
      <c r="J9" s="13"/>
      <c r="K9" s="13" t="s">
        <v>56</v>
      </c>
      <c r="L9" s="13" t="s">
        <v>55</v>
      </c>
      <c r="M9" s="13"/>
      <c r="N9" s="13"/>
      <c r="O9" s="13"/>
      <c r="P9" s="14"/>
    </row>
    <row r="10" spans="1:16" ht="15" x14ac:dyDescent="0.15">
      <c r="A10" s="93">
        <v>3</v>
      </c>
      <c r="B10" s="99" t="s">
        <v>32</v>
      </c>
      <c r="C10" s="100"/>
      <c r="D10" s="101"/>
      <c r="E10" s="97">
        <f>LEN(B10)</f>
        <v>10</v>
      </c>
      <c r="F10" s="9" t="str">
        <f>MID(B10,1,1)</f>
        <v>基</v>
      </c>
      <c r="G10" s="10" t="str">
        <f>MID(B10,2,1)</f>
        <v>礎</v>
      </c>
      <c r="H10" s="10" t="str">
        <f>MID(B10,3,1)</f>
        <v>を</v>
      </c>
      <c r="I10" s="10" t="str">
        <f>MID(B10,4,1)</f>
        <v>大</v>
      </c>
      <c r="J10" s="10" t="str">
        <f>MID(B10,5,1)</f>
        <v>切</v>
      </c>
      <c r="K10" s="10" t="str">
        <f>MID(B10,6,1)</f>
        <v>に</v>
      </c>
      <c r="L10" s="10" t="str">
        <f>MID(B10,7,1)</f>
        <v>学</v>
      </c>
      <c r="M10" s="10" t="str">
        <f>MID(B10,8,1)</f>
        <v>習</v>
      </c>
      <c r="N10" s="10" t="str">
        <f>MID(B10,9,1)</f>
        <v>す</v>
      </c>
      <c r="O10" s="10" t="str">
        <f>MID(B10,10,1)</f>
        <v>る</v>
      </c>
      <c r="P10" s="11" t="str">
        <f>MID(B10,11,1)</f>
        <v/>
      </c>
    </row>
    <row r="11" spans="1:16" thickBot="1" x14ac:dyDescent="0.2">
      <c r="A11" s="94"/>
      <c r="B11" s="102"/>
      <c r="C11" s="100"/>
      <c r="D11" s="101"/>
      <c r="E11" s="98"/>
      <c r="F11" s="12" t="s">
        <v>60</v>
      </c>
      <c r="G11" s="13" t="s">
        <v>61</v>
      </c>
      <c r="H11" s="13"/>
      <c r="I11" s="13" t="s">
        <v>62</v>
      </c>
      <c r="J11" s="13" t="s">
        <v>63</v>
      </c>
      <c r="K11" s="13"/>
      <c r="L11" s="13" t="s">
        <v>28</v>
      </c>
      <c r="M11" s="13" t="s">
        <v>64</v>
      </c>
      <c r="N11" s="13"/>
      <c r="O11" s="13"/>
      <c r="P11" s="14"/>
    </row>
    <row r="12" spans="1:16" ht="15" x14ac:dyDescent="0.15">
      <c r="A12" s="93">
        <v>4</v>
      </c>
      <c r="B12" s="99" t="s">
        <v>33</v>
      </c>
      <c r="C12" s="100"/>
      <c r="D12" s="101"/>
      <c r="E12" s="97">
        <f>LEN(B12)</f>
        <v>11</v>
      </c>
      <c r="F12" s="9" t="str">
        <f>MID(B12,1,1)</f>
        <v>相</v>
      </c>
      <c r="G12" s="10" t="str">
        <f>MID(B12,2,1)</f>
        <v>手</v>
      </c>
      <c r="H12" s="10" t="str">
        <f>MID(B12,3,1)</f>
        <v>に</v>
      </c>
      <c r="I12" s="10" t="str">
        <f>MID(B12,4,1)</f>
        <v>寄</v>
      </c>
      <c r="J12" s="10" t="str">
        <f>MID(B12,5,1)</f>
        <v>り</v>
      </c>
      <c r="K12" s="10" t="str">
        <f>MID(B12,6,1)</f>
        <v>添</v>
      </c>
      <c r="L12" s="10" t="str">
        <f>MID(B12,7,1)</f>
        <v>っ</v>
      </c>
      <c r="M12" s="10" t="str">
        <f>MID(B12,8,1)</f>
        <v>て</v>
      </c>
      <c r="N12" s="10" t="str">
        <f>MID(B12,9,1)</f>
        <v>励</v>
      </c>
      <c r="O12" s="10" t="str">
        <f>MID(B12,10,1)</f>
        <v>ま</v>
      </c>
      <c r="P12" s="11" t="str">
        <f>MID(B12,11,1)</f>
        <v>す</v>
      </c>
    </row>
    <row r="13" spans="1:16" thickBot="1" x14ac:dyDescent="0.2">
      <c r="A13" s="94"/>
      <c r="B13" s="102"/>
      <c r="C13" s="100"/>
      <c r="D13" s="101"/>
      <c r="E13" s="98"/>
      <c r="F13" s="12" t="s">
        <v>69</v>
      </c>
      <c r="G13" s="13" t="s">
        <v>68</v>
      </c>
      <c r="H13" s="13"/>
      <c r="I13" s="13" t="s">
        <v>67</v>
      </c>
      <c r="J13" s="13"/>
      <c r="K13" s="13" t="s">
        <v>66</v>
      </c>
      <c r="L13" s="13"/>
      <c r="M13" s="13"/>
      <c r="N13" s="13" t="s">
        <v>65</v>
      </c>
      <c r="O13" s="13"/>
      <c r="P13" s="14"/>
    </row>
    <row r="14" spans="1:16" ht="15" x14ac:dyDescent="0.15">
      <c r="A14" s="93">
        <v>5</v>
      </c>
      <c r="B14" s="99" t="s">
        <v>34</v>
      </c>
      <c r="C14" s="100"/>
      <c r="D14" s="101"/>
      <c r="E14" s="97">
        <f>LEN(B14)</f>
        <v>9</v>
      </c>
      <c r="F14" s="9" t="str">
        <f>MID(B14,1,1)</f>
        <v>進</v>
      </c>
      <c r="G14" s="10" t="str">
        <f>MID(B14,2,1)</f>
        <v>級</v>
      </c>
      <c r="H14" s="10" t="str">
        <f>MID(B14,3,1)</f>
        <v>の</v>
      </c>
      <c r="I14" s="10" t="str">
        <f>MID(B14,4,1)</f>
        <v>お</v>
      </c>
      <c r="J14" s="10" t="str">
        <f>MID(B14,5,1)</f>
        <v>祝</v>
      </c>
      <c r="K14" s="10" t="str">
        <f>MID(B14,6,1)</f>
        <v>い</v>
      </c>
      <c r="L14" s="10" t="str">
        <f>MID(B14,7,1)</f>
        <v>を</v>
      </c>
      <c r="M14" s="10" t="str">
        <f>MID(B14,8,1)</f>
        <v>贈</v>
      </c>
      <c r="N14" s="10" t="str">
        <f>MID(B14,9,1)</f>
        <v>る</v>
      </c>
      <c r="O14" s="10" t="str">
        <f>MID(B14,10,1)</f>
        <v/>
      </c>
      <c r="P14" s="11" t="str">
        <f>MID(B14,11,1)</f>
        <v/>
      </c>
    </row>
    <row r="15" spans="1:16" thickBot="1" x14ac:dyDescent="0.2">
      <c r="A15" s="94"/>
      <c r="B15" s="102"/>
      <c r="C15" s="100"/>
      <c r="D15" s="101"/>
      <c r="E15" s="98"/>
      <c r="F15" s="12" t="s">
        <v>70</v>
      </c>
      <c r="G15" s="13" t="s">
        <v>71</v>
      </c>
      <c r="H15" s="13"/>
      <c r="I15" s="13"/>
      <c r="J15" s="13" t="s">
        <v>72</v>
      </c>
      <c r="K15" s="13"/>
      <c r="L15" s="13"/>
      <c r="M15" s="13" t="s">
        <v>73</v>
      </c>
      <c r="N15" s="13"/>
      <c r="O15" s="13"/>
      <c r="P15" s="14"/>
    </row>
    <row r="16" spans="1:16" ht="15" x14ac:dyDescent="0.15">
      <c r="A16" s="93">
        <v>6</v>
      </c>
      <c r="B16" s="99" t="s">
        <v>35</v>
      </c>
      <c r="C16" s="100"/>
      <c r="D16" s="101"/>
      <c r="E16" s="97">
        <f>LEN(B16)</f>
        <v>10</v>
      </c>
      <c r="F16" s="9" t="str">
        <f>MID(B16,1,1)</f>
        <v>間</v>
      </c>
      <c r="G16" s="10" t="str">
        <f>MID(B16,2,1)</f>
        <v>隔</v>
      </c>
      <c r="H16" s="10" t="str">
        <f>MID(B16,3,1)</f>
        <v>を</v>
      </c>
      <c r="I16" s="10" t="str">
        <f>MID(B16,4,1)</f>
        <v>空</v>
      </c>
      <c r="J16" s="10" t="str">
        <f>MID(B16,5,1)</f>
        <v>け</v>
      </c>
      <c r="K16" s="10" t="str">
        <f>MID(B16,6,1)</f>
        <v>て</v>
      </c>
      <c r="L16" s="10" t="str">
        <f>MID(B16,7,1)</f>
        <v>駐</v>
      </c>
      <c r="M16" s="10" t="str">
        <f>MID(B16,8,1)</f>
        <v>車</v>
      </c>
      <c r="N16" s="10" t="str">
        <f>MID(B16,9,1)</f>
        <v>す</v>
      </c>
      <c r="O16" s="10" t="str">
        <f>MID(B16,10,1)</f>
        <v>る</v>
      </c>
      <c r="P16" s="11" t="str">
        <f>MID(B16,11,1)</f>
        <v/>
      </c>
    </row>
    <row r="17" spans="1:16" thickBot="1" x14ac:dyDescent="0.2">
      <c r="A17" s="94"/>
      <c r="B17" s="102"/>
      <c r="C17" s="100"/>
      <c r="D17" s="101"/>
      <c r="E17" s="98"/>
      <c r="F17" s="12" t="s">
        <v>78</v>
      </c>
      <c r="G17" s="13" t="s">
        <v>77</v>
      </c>
      <c r="H17" s="13"/>
      <c r="I17" s="13" t="s">
        <v>76</v>
      </c>
      <c r="J17" s="13"/>
      <c r="K17" s="13"/>
      <c r="L17" s="13" t="s">
        <v>75</v>
      </c>
      <c r="M17" s="13" t="s">
        <v>74</v>
      </c>
      <c r="N17" s="13"/>
      <c r="O17" s="13"/>
      <c r="P17" s="14"/>
    </row>
    <row r="18" spans="1:16" ht="15" x14ac:dyDescent="0.15">
      <c r="A18" s="93">
        <v>7</v>
      </c>
      <c r="B18" s="99" t="s">
        <v>37</v>
      </c>
      <c r="C18" s="100"/>
      <c r="D18" s="101"/>
      <c r="E18" s="97">
        <f>LEN(B18)</f>
        <v>11</v>
      </c>
      <c r="F18" s="9" t="str">
        <f>MID(B18,1,1)</f>
        <v>素</v>
      </c>
      <c r="G18" s="10" t="str">
        <f>MID(B18,2,1)</f>
        <v>朴</v>
      </c>
      <c r="H18" s="10" t="str">
        <f>MID(B18,3,1)</f>
        <v>な</v>
      </c>
      <c r="I18" s="10" t="str">
        <f>MID(B18,4,1)</f>
        <v>疑</v>
      </c>
      <c r="J18" s="10" t="str">
        <f>MID(B18,5,1)</f>
        <v>問</v>
      </c>
      <c r="K18" s="10" t="str">
        <f>MID(B18,6,1)</f>
        <v>を</v>
      </c>
      <c r="L18" s="10" t="str">
        <f>MID(B18,7,1)</f>
        <v>投</v>
      </c>
      <c r="M18" s="10" t="str">
        <f>MID(B18,8,1)</f>
        <v>げ</v>
      </c>
      <c r="N18" s="10" t="str">
        <f>MID(B18,9,1)</f>
        <v>か</v>
      </c>
      <c r="O18" s="10" t="str">
        <f>MID(B18,10,1)</f>
        <v>け</v>
      </c>
      <c r="P18" s="11" t="str">
        <f>MID(B18,11,1)</f>
        <v>る</v>
      </c>
    </row>
    <row r="19" spans="1:16" thickBot="1" x14ac:dyDescent="0.2">
      <c r="A19" s="94"/>
      <c r="B19" s="102"/>
      <c r="C19" s="100"/>
      <c r="D19" s="101"/>
      <c r="E19" s="98"/>
      <c r="F19" s="12" t="s">
        <v>61</v>
      </c>
      <c r="G19" s="13" t="s">
        <v>79</v>
      </c>
      <c r="H19" s="13"/>
      <c r="I19" s="13" t="s">
        <v>80</v>
      </c>
      <c r="J19" s="13" t="s">
        <v>81</v>
      </c>
      <c r="K19" s="13"/>
      <c r="L19" s="13" t="s">
        <v>82</v>
      </c>
      <c r="M19" s="13"/>
      <c r="N19" s="13"/>
      <c r="O19" s="13"/>
      <c r="P19" s="14"/>
    </row>
    <row r="20" spans="1:16" ht="15" x14ac:dyDescent="0.15">
      <c r="A20" s="93">
        <v>8</v>
      </c>
      <c r="B20" s="99" t="s">
        <v>36</v>
      </c>
      <c r="C20" s="100"/>
      <c r="D20" s="101"/>
      <c r="E20" s="97">
        <f>LEN(B20)</f>
        <v>10</v>
      </c>
      <c r="F20" s="9" t="str">
        <f>MID(B20,1,1)</f>
        <v>壮</v>
      </c>
      <c r="G20" s="10" t="str">
        <f>MID(B20,2,1)</f>
        <v>大</v>
      </c>
      <c r="H20" s="10" t="str">
        <f>MID(B20,3,1)</f>
        <v>な</v>
      </c>
      <c r="I20" s="10" t="str">
        <f>MID(B20,4,1)</f>
        <v>計</v>
      </c>
      <c r="J20" s="10" t="str">
        <f>MID(B20,5,1)</f>
        <v>画</v>
      </c>
      <c r="K20" s="10" t="str">
        <f>MID(B20,6,1)</f>
        <v>を</v>
      </c>
      <c r="L20" s="10" t="str">
        <f>MID(B20,7,1)</f>
        <v>暴</v>
      </c>
      <c r="M20" s="10" t="str">
        <f>MID(B20,8,1)</f>
        <v>露</v>
      </c>
      <c r="N20" s="10" t="str">
        <f>MID(B20,9,1)</f>
        <v>す</v>
      </c>
      <c r="O20" s="10" t="str">
        <f>MID(B20,10,1)</f>
        <v>る</v>
      </c>
      <c r="P20" s="11" t="str">
        <f>MID(B20,11,1)</f>
        <v/>
      </c>
    </row>
    <row r="21" spans="1:16" thickBot="1" x14ac:dyDescent="0.2">
      <c r="A21" s="94"/>
      <c r="B21" s="102"/>
      <c r="C21" s="100"/>
      <c r="D21" s="101"/>
      <c r="E21" s="98"/>
      <c r="F21" s="12" t="s">
        <v>88</v>
      </c>
      <c r="G21" s="13" t="s">
        <v>87</v>
      </c>
      <c r="H21" s="13"/>
      <c r="I21" s="13" t="s">
        <v>86</v>
      </c>
      <c r="J21" s="13" t="s">
        <v>85</v>
      </c>
      <c r="K21" s="13"/>
      <c r="L21" s="13" t="s">
        <v>84</v>
      </c>
      <c r="M21" s="13" t="s">
        <v>83</v>
      </c>
      <c r="N21" s="13"/>
      <c r="O21" s="13"/>
      <c r="P21" s="14"/>
    </row>
    <row r="23" spans="1:16" ht="24" x14ac:dyDescent="0.15">
      <c r="A23" s="1">
        <f ca="1">RAND()</f>
        <v>0.98343835274035152</v>
      </c>
      <c r="B23" s="15">
        <f ca="1">RANK(A23,$A$23:$A$30,0)</f>
        <v>1</v>
      </c>
      <c r="C23" s="18" t="s">
        <v>89</v>
      </c>
    </row>
    <row r="24" spans="1:16" ht="24" x14ac:dyDescent="0.15">
      <c r="A24" s="1">
        <f t="shared" ref="A24:A30" ca="1" si="0">RAND()</f>
        <v>0.26105960851418131</v>
      </c>
      <c r="B24" s="15">
        <f t="shared" ref="B24:B30" ca="1" si="1">RANK(A24,$A$23:$A$30,0)</f>
        <v>8</v>
      </c>
      <c r="C24" s="18" t="s">
        <v>90</v>
      </c>
    </row>
    <row r="25" spans="1:16" ht="24" x14ac:dyDescent="0.15">
      <c r="A25" s="1">
        <f t="shared" ca="1" si="0"/>
        <v>0.31832125719915516</v>
      </c>
      <c r="B25" s="15">
        <f t="shared" ca="1" si="1"/>
        <v>7</v>
      </c>
      <c r="C25" s="18" t="s">
        <v>91</v>
      </c>
    </row>
    <row r="26" spans="1:16" ht="24" x14ac:dyDescent="0.15">
      <c r="A26" s="1">
        <f t="shared" ca="1" si="0"/>
        <v>0.62222159883097938</v>
      </c>
      <c r="B26" s="15">
        <f t="shared" ca="1" si="1"/>
        <v>5</v>
      </c>
      <c r="C26" s="18" t="s">
        <v>92</v>
      </c>
    </row>
    <row r="27" spans="1:16" ht="24" x14ac:dyDescent="0.15">
      <c r="A27" s="1">
        <f t="shared" ca="1" si="0"/>
        <v>0.62695127986546617</v>
      </c>
      <c r="B27" s="15">
        <f t="shared" ca="1" si="1"/>
        <v>4</v>
      </c>
      <c r="C27" s="18" t="s">
        <v>93</v>
      </c>
    </row>
    <row r="28" spans="1:16" ht="24" x14ac:dyDescent="0.15">
      <c r="A28" s="1">
        <f t="shared" ca="1" si="0"/>
        <v>0.56909445671037351</v>
      </c>
      <c r="B28" s="15">
        <f t="shared" ca="1" si="1"/>
        <v>6</v>
      </c>
      <c r="C28" s="18" t="s">
        <v>94</v>
      </c>
    </row>
    <row r="29" spans="1:16" ht="24" x14ac:dyDescent="0.15">
      <c r="A29" s="1">
        <f t="shared" ca="1" si="0"/>
        <v>0.67725036791771454</v>
      </c>
      <c r="B29" s="15">
        <f t="shared" ca="1" si="1"/>
        <v>2</v>
      </c>
      <c r="C29" s="18" t="s">
        <v>95</v>
      </c>
    </row>
    <row r="30" spans="1:16" ht="24" x14ac:dyDescent="0.15">
      <c r="A30" s="1">
        <f t="shared" ca="1" si="0"/>
        <v>0.65960244707885229</v>
      </c>
      <c r="B30" s="15">
        <f t="shared" ca="1" si="1"/>
        <v>3</v>
      </c>
      <c r="C30" s="18" t="s">
        <v>96</v>
      </c>
    </row>
    <row r="35" spans="17:41" x14ac:dyDescent="0.15">
      <c r="Q35" s="1">
        <f ca="1">RAND()</f>
        <v>0.69492136962674023</v>
      </c>
      <c r="R35" s="1">
        <f ca="1">IF(印刷シート!$ED$2="する",RANK(Q35,$Q$35:$Q$42,0),1)</f>
        <v>4</v>
      </c>
      <c r="S35" s="15" t="str">
        <f>B2</f>
        <v>勧</v>
      </c>
      <c r="T35" s="1" t="str">
        <f t="shared" ref="T35:AD35" si="2">IF(F7="","",F7)</f>
        <v>ぶ</v>
      </c>
      <c r="U35" s="1" t="str">
        <f t="shared" si="2"/>
        <v>かつ</v>
      </c>
      <c r="V35" s="1" t="str">
        <f t="shared" si="2"/>
        <v/>
      </c>
      <c r="W35" s="1" t="str">
        <f t="shared" si="2"/>
        <v/>
      </c>
      <c r="X35" s="1" t="str">
        <f t="shared" si="2"/>
        <v>にゅう</v>
      </c>
      <c r="Y35" s="1" t="str">
        <f t="shared" si="2"/>
        <v>ぶ</v>
      </c>
      <c r="Z35" s="1" t="str">
        <f t="shared" si="2"/>
        <v/>
      </c>
      <c r="AA35" s="1" t="str">
        <f t="shared" si="2"/>
        <v>すす</v>
      </c>
      <c r="AB35" s="1" t="str">
        <f t="shared" si="2"/>
        <v/>
      </c>
      <c r="AC35" s="1" t="str">
        <f t="shared" si="2"/>
        <v/>
      </c>
      <c r="AD35" s="1" t="str">
        <f t="shared" si="2"/>
        <v/>
      </c>
      <c r="AE35" s="1" t="str">
        <f t="shared" ref="AE35:AO35" si="3">IF(F6="","",F6)</f>
        <v>部</v>
      </c>
      <c r="AF35" s="1" t="str">
        <f t="shared" si="3"/>
        <v>活</v>
      </c>
      <c r="AG35" s="1" t="str">
        <f t="shared" si="3"/>
        <v>へ</v>
      </c>
      <c r="AH35" s="1" t="str">
        <f t="shared" si="3"/>
        <v>の</v>
      </c>
      <c r="AI35" s="1" t="str">
        <f t="shared" si="3"/>
        <v>入</v>
      </c>
      <c r="AJ35" s="1" t="str">
        <f t="shared" si="3"/>
        <v>部</v>
      </c>
      <c r="AK35" s="1" t="str">
        <f t="shared" si="3"/>
        <v>を</v>
      </c>
      <c r="AL35" s="1" t="str">
        <f t="shared" si="3"/>
        <v>勧</v>
      </c>
      <c r="AM35" s="1" t="str">
        <f t="shared" si="3"/>
        <v>め</v>
      </c>
      <c r="AN35" s="1" t="str">
        <f t="shared" si="3"/>
        <v>る</v>
      </c>
      <c r="AO35" s="1" t="str">
        <f t="shared" si="3"/>
        <v/>
      </c>
    </row>
    <row r="36" spans="17:41" x14ac:dyDescent="0.15">
      <c r="Q36" s="1">
        <f t="shared" ref="Q36:Q42" ca="1" si="4">RAND()</f>
        <v>0.5595975535780271</v>
      </c>
      <c r="R36" s="1">
        <f ca="1">IF(印刷シート!$ED$2="する",RANK(Q36,$Q$35:$Q$42,0),2)</f>
        <v>5</v>
      </c>
      <c r="S36" s="15" t="str">
        <f>C2</f>
        <v>朴</v>
      </c>
      <c r="T36" s="1" t="str">
        <f t="shared" ref="T36:AD36" si="5">IF(F9="","",F9)</f>
        <v>そう</v>
      </c>
      <c r="U36" s="1" t="str">
        <f t="shared" si="5"/>
        <v>げん</v>
      </c>
      <c r="V36" s="1" t="str">
        <f t="shared" si="5"/>
        <v/>
      </c>
      <c r="W36" s="1" t="str">
        <f t="shared" si="5"/>
        <v>うま</v>
      </c>
      <c r="X36" s="1" t="str">
        <f t="shared" si="5"/>
        <v/>
      </c>
      <c r="Y36" s="1" t="str">
        <f t="shared" si="5"/>
        <v>しっ</v>
      </c>
      <c r="Z36" s="1" t="str">
        <f t="shared" si="5"/>
        <v>そう</v>
      </c>
      <c r="AA36" s="1" t="str">
        <f t="shared" si="5"/>
        <v/>
      </c>
      <c r="AB36" s="1" t="str">
        <f t="shared" si="5"/>
        <v/>
      </c>
      <c r="AC36" s="1" t="str">
        <f t="shared" si="5"/>
        <v/>
      </c>
      <c r="AD36" s="1" t="str">
        <f t="shared" si="5"/>
        <v/>
      </c>
      <c r="AE36" s="1" t="str">
        <f t="shared" ref="AE36:AO36" si="6">IF(F8="","",F8)</f>
        <v>草</v>
      </c>
      <c r="AF36" s="1" t="str">
        <f t="shared" si="6"/>
        <v>原</v>
      </c>
      <c r="AG36" s="1" t="str">
        <f t="shared" si="6"/>
        <v>を</v>
      </c>
      <c r="AH36" s="1" t="str">
        <f t="shared" si="6"/>
        <v>馬</v>
      </c>
      <c r="AI36" s="1" t="str">
        <f t="shared" si="6"/>
        <v>が</v>
      </c>
      <c r="AJ36" s="1" t="str">
        <f t="shared" si="6"/>
        <v>疾</v>
      </c>
      <c r="AK36" s="1" t="str">
        <f t="shared" si="6"/>
        <v>走</v>
      </c>
      <c r="AL36" s="1" t="str">
        <f t="shared" si="6"/>
        <v>す</v>
      </c>
      <c r="AM36" s="1" t="str">
        <f t="shared" si="6"/>
        <v>る</v>
      </c>
      <c r="AN36" s="1" t="str">
        <f t="shared" si="6"/>
        <v/>
      </c>
      <c r="AO36" s="1" t="str">
        <f t="shared" si="6"/>
        <v/>
      </c>
    </row>
    <row r="37" spans="17:41" x14ac:dyDescent="0.15">
      <c r="Q37" s="1">
        <f t="shared" ca="1" si="4"/>
        <v>0.97997723185483121</v>
      </c>
      <c r="R37" s="1">
        <f ca="1">IF(印刷シート!$ED$2="する",RANK(Q37,$Q$35:$Q$42,0),3)</f>
        <v>1</v>
      </c>
      <c r="S37" s="15" t="str">
        <f>D2</f>
        <v>壮</v>
      </c>
      <c r="T37" s="1" t="str">
        <f t="shared" ref="T37:AD37" si="7">IF(F11="","",F11)</f>
        <v>き</v>
      </c>
      <c r="U37" s="1" t="str">
        <f t="shared" si="7"/>
        <v>そ</v>
      </c>
      <c r="V37" s="1" t="str">
        <f t="shared" si="7"/>
        <v/>
      </c>
      <c r="W37" s="1" t="str">
        <f t="shared" si="7"/>
        <v>たい</v>
      </c>
      <c r="X37" s="1" t="str">
        <f t="shared" si="7"/>
        <v>せつ</v>
      </c>
      <c r="Y37" s="1" t="str">
        <f t="shared" si="7"/>
        <v/>
      </c>
      <c r="Z37" s="1" t="str">
        <f t="shared" si="7"/>
        <v>がく</v>
      </c>
      <c r="AA37" s="1" t="str">
        <f t="shared" si="7"/>
        <v>しゅう</v>
      </c>
      <c r="AB37" s="1" t="str">
        <f t="shared" si="7"/>
        <v/>
      </c>
      <c r="AC37" s="1" t="str">
        <f t="shared" si="7"/>
        <v/>
      </c>
      <c r="AD37" s="1" t="str">
        <f t="shared" si="7"/>
        <v/>
      </c>
      <c r="AE37" s="1" t="str">
        <f t="shared" ref="AE37:AO37" si="8">IF(F10="","",F10)</f>
        <v>基</v>
      </c>
      <c r="AF37" s="1" t="str">
        <f t="shared" si="8"/>
        <v>礎</v>
      </c>
      <c r="AG37" s="1" t="str">
        <f t="shared" si="8"/>
        <v>を</v>
      </c>
      <c r="AH37" s="1" t="str">
        <f t="shared" si="8"/>
        <v>大</v>
      </c>
      <c r="AI37" s="1" t="str">
        <f t="shared" si="8"/>
        <v>切</v>
      </c>
      <c r="AJ37" s="1" t="str">
        <f t="shared" si="8"/>
        <v>に</v>
      </c>
      <c r="AK37" s="1" t="str">
        <f t="shared" si="8"/>
        <v>学</v>
      </c>
      <c r="AL37" s="1" t="str">
        <f t="shared" si="8"/>
        <v>習</v>
      </c>
      <c r="AM37" s="1" t="str">
        <f t="shared" si="8"/>
        <v>す</v>
      </c>
      <c r="AN37" s="1" t="str">
        <f t="shared" si="8"/>
        <v>る</v>
      </c>
      <c r="AO37" s="1" t="str">
        <f t="shared" si="8"/>
        <v/>
      </c>
    </row>
    <row r="38" spans="17:41" x14ac:dyDescent="0.15">
      <c r="Q38" s="1">
        <f t="shared" ca="1" si="4"/>
        <v>0.78135743356740683</v>
      </c>
      <c r="R38" s="1">
        <f ca="1">IF(印刷シート!$ED$2="する",RANK(Q38,$Q$35:$Q$42,0),4)</f>
        <v>3</v>
      </c>
      <c r="S38" s="15" t="str">
        <f>E2</f>
        <v>礎</v>
      </c>
      <c r="T38" s="1" t="str">
        <f t="shared" ref="T38:AD38" si="9">IF(F13="","",F13)</f>
        <v>あい</v>
      </c>
      <c r="U38" s="1" t="str">
        <f t="shared" si="9"/>
        <v>て</v>
      </c>
      <c r="V38" s="1" t="str">
        <f t="shared" si="9"/>
        <v/>
      </c>
      <c r="W38" s="1" t="str">
        <f t="shared" si="9"/>
        <v>よ</v>
      </c>
      <c r="X38" s="1" t="str">
        <f t="shared" si="9"/>
        <v/>
      </c>
      <c r="Y38" s="1" t="str">
        <f t="shared" si="9"/>
        <v>そ</v>
      </c>
      <c r="Z38" s="1" t="str">
        <f t="shared" si="9"/>
        <v/>
      </c>
      <c r="AA38" s="1" t="str">
        <f t="shared" si="9"/>
        <v/>
      </c>
      <c r="AB38" s="1" t="str">
        <f t="shared" si="9"/>
        <v>はげ</v>
      </c>
      <c r="AC38" s="1" t="str">
        <f t="shared" si="9"/>
        <v/>
      </c>
      <c r="AD38" s="1" t="str">
        <f t="shared" si="9"/>
        <v/>
      </c>
      <c r="AE38" s="1" t="str">
        <f t="shared" ref="AE38:AO38" si="10">IF(F12="","",F12)</f>
        <v>相</v>
      </c>
      <c r="AF38" s="1" t="str">
        <f t="shared" si="10"/>
        <v>手</v>
      </c>
      <c r="AG38" s="1" t="str">
        <f t="shared" si="10"/>
        <v>に</v>
      </c>
      <c r="AH38" s="1" t="str">
        <f t="shared" si="10"/>
        <v>寄</v>
      </c>
      <c r="AI38" s="1" t="str">
        <f t="shared" si="10"/>
        <v>り</v>
      </c>
      <c r="AJ38" s="1" t="str">
        <f t="shared" si="10"/>
        <v>添</v>
      </c>
      <c r="AK38" s="1" t="str">
        <f t="shared" si="10"/>
        <v>っ</v>
      </c>
      <c r="AL38" s="1" t="str">
        <f t="shared" si="10"/>
        <v>て</v>
      </c>
      <c r="AM38" s="1" t="str">
        <f t="shared" si="10"/>
        <v>励</v>
      </c>
      <c r="AN38" s="1" t="str">
        <f t="shared" si="10"/>
        <v>ま</v>
      </c>
      <c r="AO38" s="1" t="str">
        <f t="shared" si="10"/>
        <v>す</v>
      </c>
    </row>
    <row r="39" spans="17:41" x14ac:dyDescent="0.15">
      <c r="Q39" s="1">
        <f t="shared" ca="1" si="4"/>
        <v>9.584156094007179E-2</v>
      </c>
      <c r="R39" s="1">
        <f ca="1">IF(印刷シート!$ED$2="する",RANK(Q39,$Q$35:$Q$42,0),5)</f>
        <v>7</v>
      </c>
      <c r="S39" s="15" t="str">
        <f>F2</f>
        <v>間</v>
      </c>
      <c r="T39" s="1" t="str">
        <f t="shared" ref="T39:AD39" si="11">IF(F15="","",F15)</f>
        <v>しん</v>
      </c>
      <c r="U39" s="1" t="str">
        <f t="shared" si="11"/>
        <v>きゅう</v>
      </c>
      <c r="V39" s="1" t="str">
        <f t="shared" si="11"/>
        <v/>
      </c>
      <c r="W39" s="1" t="str">
        <f t="shared" si="11"/>
        <v/>
      </c>
      <c r="X39" s="1" t="str">
        <f t="shared" si="11"/>
        <v>いわ</v>
      </c>
      <c r="Y39" s="1" t="str">
        <f t="shared" si="11"/>
        <v/>
      </c>
      <c r="Z39" s="1" t="str">
        <f t="shared" si="11"/>
        <v/>
      </c>
      <c r="AA39" s="1" t="str">
        <f t="shared" si="11"/>
        <v>おく</v>
      </c>
      <c r="AB39" s="1" t="str">
        <f t="shared" si="11"/>
        <v/>
      </c>
      <c r="AC39" s="1" t="str">
        <f t="shared" si="11"/>
        <v/>
      </c>
      <c r="AD39" s="1" t="str">
        <f t="shared" si="11"/>
        <v/>
      </c>
      <c r="AE39" s="1" t="str">
        <f t="shared" ref="AE39:AO39" si="12">IF(F14="","",F14)</f>
        <v>進</v>
      </c>
      <c r="AF39" s="1" t="str">
        <f t="shared" si="12"/>
        <v>級</v>
      </c>
      <c r="AG39" s="1" t="str">
        <f t="shared" si="12"/>
        <v>の</v>
      </c>
      <c r="AH39" s="1" t="str">
        <f t="shared" si="12"/>
        <v>お</v>
      </c>
      <c r="AI39" s="1" t="str">
        <f t="shared" si="12"/>
        <v>祝</v>
      </c>
      <c r="AJ39" s="1" t="str">
        <f t="shared" si="12"/>
        <v>い</v>
      </c>
      <c r="AK39" s="1" t="str">
        <f t="shared" si="12"/>
        <v>を</v>
      </c>
      <c r="AL39" s="1" t="str">
        <f t="shared" si="12"/>
        <v>贈</v>
      </c>
      <c r="AM39" s="1" t="str">
        <f t="shared" si="12"/>
        <v>る</v>
      </c>
      <c r="AN39" s="1" t="str">
        <f t="shared" si="12"/>
        <v/>
      </c>
      <c r="AO39" s="1" t="str">
        <f t="shared" si="12"/>
        <v/>
      </c>
    </row>
    <row r="40" spans="17:41" x14ac:dyDescent="0.15">
      <c r="Q40" s="1">
        <f t="shared" ca="1" si="4"/>
        <v>0.96283672837801004</v>
      </c>
      <c r="R40" s="1">
        <f ca="1">IF(印刷シート!$ED$2="する",RANK(Q40,$Q$35:$Q$42,0),6)</f>
        <v>2</v>
      </c>
      <c r="S40" s="15" t="str">
        <f>G2</f>
        <v>疾</v>
      </c>
      <c r="T40" s="1" t="str">
        <f t="shared" ref="T40:AD40" si="13">IF(F17="","",F17)</f>
        <v>かん</v>
      </c>
      <c r="U40" s="1" t="str">
        <f t="shared" si="13"/>
        <v>かく</v>
      </c>
      <c r="V40" s="1" t="str">
        <f t="shared" si="13"/>
        <v/>
      </c>
      <c r="W40" s="1" t="str">
        <f t="shared" si="13"/>
        <v>あ</v>
      </c>
      <c r="X40" s="1" t="str">
        <f t="shared" si="13"/>
        <v/>
      </c>
      <c r="Y40" s="1" t="str">
        <f t="shared" si="13"/>
        <v/>
      </c>
      <c r="Z40" s="1" t="str">
        <f t="shared" si="13"/>
        <v>ちゅう</v>
      </c>
      <c r="AA40" s="1" t="str">
        <f t="shared" si="13"/>
        <v>しゃ</v>
      </c>
      <c r="AB40" s="1" t="str">
        <f t="shared" si="13"/>
        <v/>
      </c>
      <c r="AC40" s="1" t="str">
        <f t="shared" si="13"/>
        <v/>
      </c>
      <c r="AD40" s="1" t="str">
        <f t="shared" si="13"/>
        <v/>
      </c>
      <c r="AE40" s="1" t="str">
        <f t="shared" ref="AE40:AO40" si="14">IF(F16="","",F16)</f>
        <v>間</v>
      </c>
      <c r="AF40" s="1" t="str">
        <f t="shared" si="14"/>
        <v>隔</v>
      </c>
      <c r="AG40" s="1" t="str">
        <f t="shared" si="14"/>
        <v>を</v>
      </c>
      <c r="AH40" s="1" t="str">
        <f t="shared" si="14"/>
        <v>空</v>
      </c>
      <c r="AI40" s="1" t="str">
        <f t="shared" si="14"/>
        <v>け</v>
      </c>
      <c r="AJ40" s="1" t="str">
        <f t="shared" si="14"/>
        <v>て</v>
      </c>
      <c r="AK40" s="1" t="str">
        <f t="shared" si="14"/>
        <v>駐</v>
      </c>
      <c r="AL40" s="1" t="str">
        <f t="shared" si="14"/>
        <v>車</v>
      </c>
      <c r="AM40" s="1" t="str">
        <f t="shared" si="14"/>
        <v>す</v>
      </c>
      <c r="AN40" s="1" t="str">
        <f t="shared" si="14"/>
        <v>る</v>
      </c>
      <c r="AO40" s="1" t="str">
        <f t="shared" si="14"/>
        <v/>
      </c>
    </row>
    <row r="41" spans="17:41" x14ac:dyDescent="0.15">
      <c r="Q41" s="1">
        <f t="shared" ca="1" si="4"/>
        <v>0.39923917468193826</v>
      </c>
      <c r="R41" s="1">
        <f ca="1">IF(印刷シート!$ED$2="する",RANK(Q41,$Q$35:$Q$42,0),7)</f>
        <v>6</v>
      </c>
      <c r="S41" s="15" t="str">
        <f>H2</f>
        <v>素</v>
      </c>
      <c r="T41" s="1" t="str">
        <f t="shared" ref="T41:AD41" si="15">IF(F19="","",F19)</f>
        <v>そ</v>
      </c>
      <c r="U41" s="1" t="str">
        <f t="shared" si="15"/>
        <v>ぼく</v>
      </c>
      <c r="V41" s="1" t="str">
        <f t="shared" si="15"/>
        <v/>
      </c>
      <c r="W41" s="1" t="str">
        <f t="shared" si="15"/>
        <v>ぎ</v>
      </c>
      <c r="X41" s="1" t="str">
        <f t="shared" si="15"/>
        <v>もん</v>
      </c>
      <c r="Y41" s="1" t="str">
        <f t="shared" si="15"/>
        <v/>
      </c>
      <c r="Z41" s="1" t="str">
        <f t="shared" si="15"/>
        <v>な</v>
      </c>
      <c r="AA41" s="1" t="str">
        <f t="shared" si="15"/>
        <v/>
      </c>
      <c r="AB41" s="1" t="str">
        <f t="shared" si="15"/>
        <v/>
      </c>
      <c r="AC41" s="1" t="str">
        <f t="shared" si="15"/>
        <v/>
      </c>
      <c r="AD41" s="1" t="str">
        <f t="shared" si="15"/>
        <v/>
      </c>
      <c r="AE41" s="1" t="str">
        <f t="shared" ref="AE41:AO41" si="16">IF(F18="","",F18)</f>
        <v>素</v>
      </c>
      <c r="AF41" s="1" t="str">
        <f t="shared" si="16"/>
        <v>朴</v>
      </c>
      <c r="AG41" s="1" t="str">
        <f t="shared" si="16"/>
        <v>な</v>
      </c>
      <c r="AH41" s="1" t="str">
        <f t="shared" si="16"/>
        <v>疑</v>
      </c>
      <c r="AI41" s="1" t="str">
        <f t="shared" si="16"/>
        <v>問</v>
      </c>
      <c r="AJ41" s="1" t="str">
        <f t="shared" si="16"/>
        <v>を</v>
      </c>
      <c r="AK41" s="1" t="str">
        <f t="shared" si="16"/>
        <v>投</v>
      </c>
      <c r="AL41" s="1" t="str">
        <f t="shared" si="16"/>
        <v>げ</v>
      </c>
      <c r="AM41" s="1" t="str">
        <f t="shared" si="16"/>
        <v>か</v>
      </c>
      <c r="AN41" s="1" t="str">
        <f t="shared" si="16"/>
        <v>け</v>
      </c>
      <c r="AO41" s="1" t="str">
        <f t="shared" si="16"/>
        <v>る</v>
      </c>
    </row>
    <row r="42" spans="17:41" x14ac:dyDescent="0.15">
      <c r="Q42" s="1">
        <f t="shared" ca="1" si="4"/>
        <v>6.6834898610309335E-2</v>
      </c>
      <c r="R42" s="1">
        <f ca="1">IF(印刷シート!$ED$2="する",RANK(Q42,$Q$35:$Q$42,0),8)</f>
        <v>8</v>
      </c>
      <c r="S42" s="15" t="str">
        <f>I2</f>
        <v>基</v>
      </c>
      <c r="T42" s="1" t="str">
        <f t="shared" ref="T42:AD42" si="17">IF(F21="","",F21)</f>
        <v>そう</v>
      </c>
      <c r="U42" s="1" t="str">
        <f t="shared" si="17"/>
        <v>だい</v>
      </c>
      <c r="V42" s="1" t="str">
        <f t="shared" si="17"/>
        <v/>
      </c>
      <c r="W42" s="1" t="str">
        <f t="shared" si="17"/>
        <v>けい</v>
      </c>
      <c r="X42" s="1" t="str">
        <f t="shared" si="17"/>
        <v>かく</v>
      </c>
      <c r="Y42" s="1" t="str">
        <f t="shared" si="17"/>
        <v/>
      </c>
      <c r="Z42" s="1" t="str">
        <f t="shared" si="17"/>
        <v>ばく</v>
      </c>
      <c r="AA42" s="1" t="str">
        <f t="shared" si="17"/>
        <v>ろ</v>
      </c>
      <c r="AB42" s="1" t="str">
        <f t="shared" si="17"/>
        <v/>
      </c>
      <c r="AC42" s="1" t="str">
        <f t="shared" si="17"/>
        <v/>
      </c>
      <c r="AD42" s="1" t="str">
        <f t="shared" si="17"/>
        <v/>
      </c>
      <c r="AE42" s="1" t="str">
        <f t="shared" ref="AE42:AO42" si="18">IF(F20="","",F20)</f>
        <v>壮</v>
      </c>
      <c r="AF42" s="1" t="str">
        <f t="shared" si="18"/>
        <v>大</v>
      </c>
      <c r="AG42" s="1" t="str">
        <f t="shared" si="18"/>
        <v>な</v>
      </c>
      <c r="AH42" s="1" t="str">
        <f t="shared" si="18"/>
        <v>計</v>
      </c>
      <c r="AI42" s="1" t="str">
        <f t="shared" si="18"/>
        <v>画</v>
      </c>
      <c r="AJ42" s="1" t="str">
        <f t="shared" si="18"/>
        <v>を</v>
      </c>
      <c r="AK42" s="1" t="str">
        <f t="shared" si="18"/>
        <v>暴</v>
      </c>
      <c r="AL42" s="1" t="str">
        <f t="shared" si="18"/>
        <v>露</v>
      </c>
      <c r="AM42" s="1" t="str">
        <f t="shared" si="18"/>
        <v>す</v>
      </c>
      <c r="AN42" s="1" t="str">
        <f t="shared" si="18"/>
        <v>る</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2025-08-08T01:52:40Z</cp:lastPrinted>
  <dcterms:created xsi:type="dcterms:W3CDTF">2011-08-04T02:55:31Z</dcterms:created>
  <dcterms:modified xsi:type="dcterms:W3CDTF">2025-08-08T01:52:55Z</dcterms:modified>
  <cp:category/>
  <cp:contentStatus/>
</cp:coreProperties>
</file>