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1年生\単元別漢字（中１）\"/>
    </mc:Choice>
  </mc:AlternateContent>
  <xr:revisionPtr revIDLastSave="0" documentId="13_ncr:1_{5CF52289-69FE-48A9-BDA7-D0E2E2A90E40}"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4" i="15" l="1"/>
  <c r="B25" i="15"/>
  <c r="B26" i="15"/>
  <c r="B23" i="15"/>
  <c r="B27" i="15"/>
  <c r="B28" i="15"/>
  <c r="B29" i="15"/>
  <c r="B30" i="15"/>
  <c r="BU38" i="2" l="1"/>
  <c r="BU16" i="2"/>
  <c r="BU27" i="2"/>
  <c r="CD38" i="2"/>
  <c r="BU5" i="2"/>
  <c r="CD16"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<sst xmlns="http://schemas.openxmlformats.org/spreadsheetml/2006/main" count="94" uniqueCount="94">
  <si>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</si>
  <si>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</si>
  <si>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</si>
  <si>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</si>
  <si>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</si>
  <si>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</si>
  <si>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</si>
  <si>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</si>
  <si>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</si>
  <si>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</si>
  <si>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</si>
  <si>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</si>
  <si>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</si>
  <si>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</si>
  <si>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ひと</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</si>
  <si>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</si>
  <si>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</si>
  <si>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</si>
  <si>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</si>
  <si>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</si>
  <si>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</si>
  <si>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</si>
  <si>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</si>
  <si>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</si>
  <si>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</si>
  <si>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</si>
  <si>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</si>
  <si>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</si>
  <si>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</si>
  <si>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1-空中ブ１</t>
    <rPh sb="2" eb="4">
      <t>クウチュウ</t>
    </rPh>
    <phoneticPr fontId="1"/>
  </si>
  <si>
    <t>観客の割れるような拍手</t>
    <rPh sb="0" eb="2">
      <t>カンキャク</t>
    </rPh>
    <rPh sb="3" eb="4">
      <t>ワ</t>
    </rPh>
    <rPh sb="9" eb="11">
      <t>ハクシュ</t>
    </rPh>
    <phoneticPr fontId="1"/>
  </si>
  <si>
    <t>誰か他の人が始める</t>
    <rPh sb="0" eb="1">
      <t>ダレ</t>
    </rPh>
    <rPh sb="2" eb="3">
      <t>ホカ</t>
    </rPh>
    <rPh sb="4" eb="5">
      <t>ヒト</t>
    </rPh>
    <rPh sb="6" eb="7">
      <t>ハジ</t>
    </rPh>
    <phoneticPr fontId="1"/>
  </si>
  <si>
    <t>広場の片隅に座る</t>
    <rPh sb="0" eb="2">
      <t>ヒロバ</t>
    </rPh>
    <rPh sb="3" eb="5">
      <t>カタスミ</t>
    </rPh>
    <rPh sb="6" eb="7">
      <t>スワ</t>
    </rPh>
    <phoneticPr fontId="1"/>
  </si>
  <si>
    <t>テントの陰で出番を待つ</t>
    <rPh sb="4" eb="5">
      <t>カゲ</t>
    </rPh>
    <rPh sb="6" eb="8">
      <t>デバン</t>
    </rPh>
    <rPh sb="9" eb="10">
      <t>マ</t>
    </rPh>
    <phoneticPr fontId="1"/>
  </si>
  <si>
    <t>沈黙して深く考える</t>
    <rPh sb="0" eb="2">
      <t>チンモク</t>
    </rPh>
    <rPh sb="4" eb="5">
      <t>フカ</t>
    </rPh>
    <rPh sb="6" eb="7">
      <t>カンガ</t>
    </rPh>
    <phoneticPr fontId="1"/>
  </si>
  <si>
    <t>魚を網ですくう</t>
    <rPh sb="0" eb="1">
      <t>サカナ</t>
    </rPh>
    <rPh sb="2" eb="3">
      <t>アミ</t>
    </rPh>
    <phoneticPr fontId="1"/>
  </si>
  <si>
    <t>一斉に笛を吹く</t>
    <rPh sb="0" eb="2">
      <t>イッセイ</t>
    </rPh>
    <rPh sb="3" eb="4">
      <t>フエ</t>
    </rPh>
    <rPh sb="5" eb="6">
      <t>フ</t>
    </rPh>
    <phoneticPr fontId="1"/>
  </si>
  <si>
    <t>静寂の中で耳を澄ます</t>
    <rPh sb="0" eb="2">
      <t>セイジャク</t>
    </rPh>
    <rPh sb="3" eb="4">
      <t>ナカ</t>
    </rPh>
    <rPh sb="5" eb="6">
      <t>ミミ</t>
    </rPh>
    <rPh sb="7" eb="8">
      <t>ス</t>
    </rPh>
    <phoneticPr fontId="1"/>
  </si>
  <si>
    <t>だれ</t>
    <phoneticPr fontId="1"/>
  </si>
  <si>
    <t>ほか</t>
    <phoneticPr fontId="1"/>
  </si>
  <si>
    <t>はじ</t>
    <phoneticPr fontId="1"/>
  </si>
  <si>
    <t>すわ</t>
    <phoneticPr fontId="1"/>
  </si>
  <si>
    <t>すみ</t>
    <phoneticPr fontId="1"/>
  </si>
  <si>
    <t>かた</t>
    <phoneticPr fontId="1"/>
  </si>
  <si>
    <t>ば</t>
    <phoneticPr fontId="1"/>
  </si>
  <si>
    <t>ひろ</t>
    <phoneticPr fontId="1"/>
  </si>
  <si>
    <t>ちん</t>
    <phoneticPr fontId="1"/>
  </si>
  <si>
    <t>もく</t>
    <phoneticPr fontId="1"/>
  </si>
  <si>
    <t>ふか</t>
    <phoneticPr fontId="1"/>
  </si>
  <si>
    <t>かんが</t>
    <phoneticPr fontId="1"/>
  </si>
  <si>
    <t>ま</t>
    <phoneticPr fontId="1"/>
  </si>
  <si>
    <t>ばん</t>
    <phoneticPr fontId="1"/>
  </si>
  <si>
    <t>で</t>
    <phoneticPr fontId="1"/>
  </si>
  <si>
    <t>かげ</t>
    <phoneticPr fontId="1"/>
  </si>
  <si>
    <t>かん</t>
    <phoneticPr fontId="1"/>
  </si>
  <si>
    <t>きゃく</t>
    <phoneticPr fontId="1"/>
  </si>
  <si>
    <t>わ</t>
    <phoneticPr fontId="1"/>
  </si>
  <si>
    <t>はく</t>
    <phoneticPr fontId="1"/>
  </si>
  <si>
    <t>しゅ</t>
    <phoneticPr fontId="1"/>
  </si>
  <si>
    <t>あみ</t>
    <phoneticPr fontId="1"/>
  </si>
  <si>
    <t>さかな</t>
    <phoneticPr fontId="1"/>
  </si>
  <si>
    <t>いっ</t>
    <phoneticPr fontId="1"/>
  </si>
  <si>
    <t>せい</t>
    <phoneticPr fontId="1"/>
  </si>
  <si>
    <t>ふえ</t>
    <phoneticPr fontId="1"/>
  </si>
  <si>
    <t>ふ</t>
    <phoneticPr fontId="1"/>
  </si>
  <si>
    <t>す</t>
    <phoneticPr fontId="1"/>
  </si>
  <si>
    <t>みみ</t>
    <phoneticPr fontId="1"/>
  </si>
  <si>
    <t>なか</t>
    <phoneticPr fontId="1"/>
  </si>
  <si>
    <t>じゃく</t>
    <phoneticPr fontId="1"/>
  </si>
  <si>
    <t>せい</t>
    <phoneticPr fontId="1"/>
  </si>
  <si>
    <t>誰</t>
    <rPh sb="0" eb="1">
      <t>ダレ</t>
    </rPh>
    <phoneticPr fontId="1"/>
  </si>
  <si>
    <t>隅</t>
    <rPh sb="0" eb="1">
      <t>スミ</t>
    </rPh>
    <phoneticPr fontId="1"/>
  </si>
  <si>
    <t>片</t>
    <rPh sb="0" eb="1">
      <t>カタ</t>
    </rPh>
    <phoneticPr fontId="1"/>
  </si>
  <si>
    <t>沈</t>
    <rPh sb="0" eb="1">
      <t>チン</t>
    </rPh>
    <phoneticPr fontId="1"/>
  </si>
  <si>
    <t>黙</t>
    <rPh sb="0" eb="1">
      <t>モク</t>
    </rPh>
    <phoneticPr fontId="1"/>
  </si>
  <si>
    <t>陰</t>
    <rPh sb="0" eb="1">
      <t>カゲ</t>
    </rPh>
    <phoneticPr fontId="1"/>
  </si>
  <si>
    <t>拍</t>
    <rPh sb="0" eb="1">
      <t>ハク</t>
    </rPh>
    <phoneticPr fontId="1"/>
  </si>
  <si>
    <t>手</t>
    <rPh sb="0" eb="1">
      <t>テ</t>
    </rPh>
    <phoneticPr fontId="1"/>
  </si>
  <si>
    <t>網</t>
    <rPh sb="0" eb="1">
      <t>アミ</t>
    </rPh>
    <phoneticPr fontId="1"/>
  </si>
  <si>
    <t>一</t>
    <rPh sb="0" eb="1">
      <t>イチ</t>
    </rPh>
    <phoneticPr fontId="1"/>
  </si>
  <si>
    <t>斉</t>
    <rPh sb="0" eb="1">
      <t>セイ</t>
    </rPh>
    <phoneticPr fontId="1"/>
  </si>
  <si>
    <t>静</t>
    <rPh sb="0" eb="1">
      <t>シズ</t>
    </rPh>
    <phoneticPr fontId="1"/>
  </si>
  <si>
    <t>寂</t>
    <rPh sb="0" eb="1">
      <t>サビ</t>
    </rPh>
    <phoneticPr fontId="1"/>
  </si>
  <si>
    <t>澄</t>
    <rPh sb="0" eb="1">
      <t>ス</t>
    </rPh>
    <phoneticPr fontId="1"/>
  </si>
  <si>
    <t>他</t>
    <rPh sb="0" eb="1">
      <t>ホカ</t>
    </rPh>
    <phoneticPr fontId="1"/>
  </si>
  <si>
    <t>水が跳ねる</t>
    <rPh sb="0" eb="1">
      <t>ミズ</t>
    </rPh>
    <rPh sb="2" eb="3">
      <t>ハ</t>
    </rPh>
    <phoneticPr fontId="1"/>
  </si>
  <si>
    <t>一生懸命</t>
    <rPh sb="0" eb="4">
      <t>イッショウケンメイ</t>
    </rPh>
    <phoneticPr fontId="1"/>
  </si>
  <si>
    <t>寂しい</t>
    <rPh sb="0" eb="1">
      <t>サビ</t>
    </rPh>
    <phoneticPr fontId="1"/>
  </si>
  <si>
    <t>黙る</t>
    <rPh sb="0" eb="1">
      <t>ダマ</t>
    </rPh>
    <phoneticPr fontId="1"/>
  </si>
  <si>
    <t>花瓶</t>
    <rPh sb="0" eb="2">
      <t>カビン</t>
    </rPh>
    <phoneticPr fontId="1"/>
  </si>
  <si>
    <t>陰気</t>
    <rPh sb="0" eb="2">
      <t>インキ</t>
    </rPh>
    <phoneticPr fontId="1"/>
  </si>
  <si>
    <t>盛大に祝う</t>
    <rPh sb="0" eb="2">
      <t>セイダイ</t>
    </rPh>
    <rPh sb="3" eb="4">
      <t>イワ</t>
    </rPh>
    <phoneticPr fontId="1"/>
  </si>
  <si>
    <t>吹奏楽</t>
    <rPh sb="0" eb="3">
      <t>スイソウガク</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</si>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</sst>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pplyAlignment="1">
      <alignment horizontal="center" vertical="center"/>
    </xf>
    <xf numFmtId="0" fontId="5" fillId="0" borderId="0" xfId="0" applyFont="1">
      <alignment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1743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31"/>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10502</xdr:colOff>
          <xdr:row>4</xdr:row>
          <xdr:rowOff>1886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32"/>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33"/>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34"/>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35"/>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92170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736"/>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737"/>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738"/>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739"/>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740"/>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741"/>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742"/>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743"/>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744"/>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745"/>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EQ14" sqref="EQ14"/>
    </sheetView>
  </sheetViews>
  <sheetFormatPr defaultColWidth="9" defaultRowHeight="15" x14ac:dyDescent="0.15"/>
  <cols>
    <col min="1" max="5" width="1.75" style="1" customWidth="1"/>
    <col min="6" max="9" width="1.375" style="1" customWidth="1"/>
    <col min="10" max="14" width="1.75" style="1" customWidth="1"/>
    <col min="15" max="18" width="1.375" style="1" customWidth="1"/>
    <col min="19" max="23" width="1.75" style="1" customWidth="1"/>
    <col min="24" max="27" width="1.375" style="1" customWidth="1"/>
    <col min="28" max="32" width="1.75" style="1" customWidth="1"/>
    <col min="33" max="36" width="1.375" style="1" customWidth="1"/>
    <col min="37" max="41" width="1.75" style="1" customWidth="1"/>
    <col min="42" max="45" width="1.375" style="1" customWidth="1"/>
    <col min="46" max="50" width="1.75" style="1" customWidth="1"/>
    <col min="51" max="54" width="1.375" style="1" customWidth="1"/>
    <col min="55" max="59" width="1.75" style="1" customWidth="1"/>
    <col min="60" max="63" width="1.375" style="1" customWidth="1"/>
    <col min="64" max="68" width="1.75" style="1" customWidth="1"/>
    <col min="69" max="72" width="1.375" style="1" customWidth="1"/>
    <col min="73" max="77" width="1.75" style="1" customWidth="1"/>
    <col min="78" max="81" width="1.375" style="1" customWidth="1"/>
    <col min="82" max="86" width="1.75" style="1" customWidth="1"/>
    <col min="87" max="90" width="1.37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93</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隅</v>
      </c>
      <c r="B4" s="34"/>
      <c r="C4" s="34"/>
      <c r="D4" s="34"/>
      <c r="E4" s="34"/>
      <c r="F4" s="34"/>
      <c r="G4" s="33" t="str">
        <f>問題文入力シート!C2</f>
        <v>澄</v>
      </c>
      <c r="H4" s="34"/>
      <c r="I4" s="34"/>
      <c r="J4" s="34"/>
      <c r="K4" s="34"/>
      <c r="L4" s="34"/>
      <c r="M4" s="33" t="str">
        <f>問題文入力シート!D2</f>
        <v>誰</v>
      </c>
      <c r="N4" s="34"/>
      <c r="O4" s="34"/>
      <c r="P4" s="34"/>
      <c r="Q4" s="34"/>
      <c r="R4" s="34"/>
      <c r="S4" s="33" t="str">
        <f>問題文入力シート!E2</f>
        <v>沈</v>
      </c>
      <c r="T4" s="34"/>
      <c r="U4" s="34"/>
      <c r="V4" s="34"/>
      <c r="W4" s="34"/>
      <c r="X4" s="34"/>
      <c r="Y4" s="33" t="str">
        <f>問題文入力シート!F2</f>
        <v>拍</v>
      </c>
      <c r="Z4" s="34"/>
      <c r="AA4" s="34"/>
      <c r="AB4" s="34"/>
      <c r="AC4" s="34"/>
      <c r="AD4" s="34"/>
      <c r="AE4" s="33" t="str">
        <f>問題文入力シート!G2</f>
        <v>一</v>
      </c>
      <c r="AF4" s="34"/>
      <c r="AG4" s="34"/>
      <c r="AH4" s="34"/>
      <c r="AI4" s="34"/>
      <c r="AJ4" s="34"/>
      <c r="AK4" s="33" t="str">
        <f>問題文入力シート!H2</f>
        <v>網</v>
      </c>
      <c r="AL4" s="34"/>
      <c r="AM4" s="34"/>
      <c r="AN4" s="34"/>
      <c r="AO4" s="34"/>
      <c r="AP4" s="34"/>
      <c r="AQ4" s="33" t="str">
        <f>問題文入力シート!I2</f>
        <v>片</v>
      </c>
      <c r="AR4" s="34"/>
      <c r="AS4" s="34"/>
      <c r="AT4" s="34"/>
      <c r="AU4" s="34"/>
      <c r="AV4" s="34"/>
      <c r="AW4" s="33" t="str">
        <f>問題文入力シート!J2</f>
        <v>静</v>
      </c>
      <c r="AX4" s="34"/>
      <c r="AY4" s="34"/>
      <c r="AZ4" s="34"/>
      <c r="BA4" s="34"/>
      <c r="BB4" s="34"/>
      <c r="BC4" s="33" t="str">
        <f>問題文入力シート!K2</f>
        <v>陰</v>
      </c>
      <c r="BD4" s="34"/>
      <c r="BE4" s="34"/>
      <c r="BF4" s="34"/>
      <c r="BG4" s="34"/>
      <c r="BH4" s="34"/>
      <c r="BI4" s="33" t="str">
        <f>問題文入力シート!L2</f>
        <v>他</v>
      </c>
      <c r="BJ4" s="34"/>
      <c r="BK4" s="34"/>
      <c r="BL4" s="34"/>
      <c r="BM4" s="34"/>
      <c r="BN4" s="34"/>
      <c r="BO4" s="33" t="str">
        <f>問題文入力シート!M2</f>
        <v>手</v>
      </c>
      <c r="BP4" s="34"/>
      <c r="BQ4" s="34"/>
      <c r="BR4" s="34"/>
      <c r="BS4" s="34"/>
      <c r="BT4" s="34"/>
      <c r="BU4" s="33" t="str">
        <f>問題文入力シート!N2</f>
        <v>寂</v>
      </c>
      <c r="BV4" s="34"/>
      <c r="BW4" s="34"/>
      <c r="BX4" s="34"/>
      <c r="BY4" s="34"/>
      <c r="BZ4" s="34"/>
      <c r="CA4" s="33" t="str">
        <f>問題文入力シート!O2</f>
        <v>斉</v>
      </c>
      <c r="CB4" s="34"/>
      <c r="CC4" s="34"/>
      <c r="CD4" s="34"/>
      <c r="CE4" s="34"/>
      <c r="CF4" s="34"/>
      <c r="CG4" s="33" t="str">
        <f>問題文入力シート!P2</f>
        <v>黙</v>
      </c>
      <c r="CH4" s="34"/>
      <c r="CI4" s="34"/>
      <c r="CJ4" s="34"/>
      <c r="CK4" s="34"/>
      <c r="CL4" s="35"/>
      <c r="CM4" s="70" t="s">
        <v>9</v>
      </c>
      <c r="CN4" s="71"/>
      <c r="CO4" s="71"/>
      <c r="CP4" s="71"/>
      <c r="CQ4" s="71"/>
      <c r="CR4" s="72"/>
      <c r="EE4" s="3"/>
      <c r="EY4" s="3"/>
      <c r="FS4" s="3"/>
    </row>
    <row r="5" spans="1:181" ht="12.95" customHeight="1" thickBot="1" x14ac:dyDescent="0.2">
      <c r="A5" s="25" t="str">
        <f ca="1">VLOOKUP(8,list,14,FALSE)</f>
        <v>広</v>
      </c>
      <c r="B5" s="26"/>
      <c r="C5" s="26"/>
      <c r="D5" s="26"/>
      <c r="E5" s="27"/>
      <c r="F5" s="39" t="str">
        <f ca="1">IF($AA$2="入れる",VLOOKUP(8,list,3,FALSE),"")</f>
        <v>ひろ</v>
      </c>
      <c r="G5" s="40"/>
      <c r="H5" s="40"/>
      <c r="I5" s="41"/>
      <c r="J5" s="25" t="str">
        <f ca="1">VLOOKUP(7,list,14,FALSE)</f>
        <v>観</v>
      </c>
      <c r="K5" s="26"/>
      <c r="L5" s="26"/>
      <c r="M5" s="26"/>
      <c r="N5" s="27"/>
      <c r="O5" s="39" t="str">
        <f ca="1">IF($AA$2="入れる",VLOOKUP(7,list,3,FALSE),"")</f>
        <v>かん</v>
      </c>
      <c r="P5" s="40"/>
      <c r="Q5" s="40"/>
      <c r="R5" s="41"/>
      <c r="S5" s="25" t="str">
        <f ca="1">VLOOKUP(6,list,14,FALSE)</f>
        <v>静</v>
      </c>
      <c r="T5" s="26"/>
      <c r="U5" s="26"/>
      <c r="V5" s="26"/>
      <c r="W5" s="27"/>
      <c r="X5" s="39" t="str">
        <f ca="1">IF($AA$2="入れる",VLOOKUP(6,list,3,FALSE),"")</f>
        <v>せい</v>
      </c>
      <c r="Y5" s="40"/>
      <c r="Z5" s="40"/>
      <c r="AA5" s="41"/>
      <c r="AB5" s="25" t="str">
        <f ca="1">VLOOKUP(5,list,14,FALSE)</f>
        <v>沈</v>
      </c>
      <c r="AC5" s="26"/>
      <c r="AD5" s="26"/>
      <c r="AE5" s="26"/>
      <c r="AF5" s="27"/>
      <c r="AG5" s="39" t="str">
        <f ca="1">IF($AA$2="入れる",VLOOKUP(5,list,3,FALSE),"")</f>
        <v>ちん</v>
      </c>
      <c r="AH5" s="40"/>
      <c r="AI5" s="40"/>
      <c r="AJ5" s="41"/>
      <c r="AK5" s="25" t="str">
        <f ca="1">VLOOKUP(4,list,14,FALSE)</f>
        <v>一</v>
      </c>
      <c r="AL5" s="26"/>
      <c r="AM5" s="26"/>
      <c r="AN5" s="26"/>
      <c r="AO5" s="27"/>
      <c r="AP5" s="39" t="str">
        <f ca="1">IF($AA$2="入れる",VLOOKUP(4,list,3,FALSE),"")</f>
        <v>いっ</v>
      </c>
      <c r="AQ5" s="40"/>
      <c r="AR5" s="40"/>
      <c r="AS5" s="41"/>
      <c r="AT5" s="25" t="str">
        <f ca="1">VLOOKUP(3,list,14,FALSE)</f>
        <v>誰</v>
      </c>
      <c r="AU5" s="26"/>
      <c r="AV5" s="26"/>
      <c r="AW5" s="26"/>
      <c r="AX5" s="27"/>
      <c r="AY5" s="39" t="str">
        <f ca="1">IF($AA$2="入れる",VLOOKUP(3,list,3,FALSE),"")</f>
        <v>だれ</v>
      </c>
      <c r="AZ5" s="40"/>
      <c r="BA5" s="40"/>
      <c r="BB5" s="41"/>
      <c r="BC5" s="25" t="str">
        <f ca="1">VLOOKUP(2,list,14,FALSE)</f>
        <v>魚</v>
      </c>
      <c r="BD5" s="26"/>
      <c r="BE5" s="26"/>
      <c r="BF5" s="26"/>
      <c r="BG5" s="27"/>
      <c r="BH5" s="39" t="str">
        <f ca="1">IF($AA$2="入れる",VLOOKUP(2,list,3,FALSE),"")</f>
        <v>さかな</v>
      </c>
      <c r="BI5" s="40"/>
      <c r="BJ5" s="40"/>
      <c r="BK5" s="40"/>
      <c r="BL5" s="25" t="str">
        <f ca="1">VLOOKUP(1,list,14,FALSE)</f>
        <v>テ</v>
      </c>
      <c r="BM5" s="26"/>
      <c r="BN5" s="26"/>
      <c r="BO5" s="26"/>
      <c r="BP5" s="27"/>
      <c r="BQ5" s="40" t="str">
        <f ca="1">IF($AA$2="入れる",VLOOKUP(1,list,3,FALSE),"")</f>
        <v/>
      </c>
      <c r="BR5" s="40"/>
      <c r="BS5" s="40"/>
      <c r="BT5" s="41"/>
      <c r="BU5" s="79" t="str">
        <f ca="1">VLOOKUP(5,yomi,2,FALSE)</f>
        <v>陰気</v>
      </c>
      <c r="BV5" s="80"/>
      <c r="BW5" s="80"/>
      <c r="BX5" s="83"/>
      <c r="BY5" s="80"/>
      <c r="BZ5" s="80"/>
      <c r="CA5" s="80"/>
      <c r="CB5" s="80"/>
      <c r="CC5" s="80"/>
      <c r="CD5" s="79" t="str">
        <f ca="1">VLOOKUP(1,yomi,2,FALSE)</f>
        <v>吹奏楽</v>
      </c>
      <c r="CE5" s="80"/>
      <c r="CF5" s="80"/>
      <c r="CG5" s="83"/>
      <c r="CH5" s="80"/>
      <c r="CI5" s="80"/>
      <c r="CJ5" s="80"/>
      <c r="CK5" s="80"/>
      <c r="CL5" s="84"/>
      <c r="CM5" s="73"/>
      <c r="CN5" s="73"/>
      <c r="CO5" s="73"/>
      <c r="CP5" s="73"/>
      <c r="CQ5" s="73"/>
      <c r="CR5" s="74"/>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1"/>
      <c r="BV6" s="82"/>
      <c r="BW6" s="82"/>
      <c r="BX6" s="82"/>
      <c r="BY6" s="82"/>
      <c r="BZ6" s="82"/>
      <c r="CA6" s="82"/>
      <c r="CB6" s="82"/>
      <c r="CC6" s="82"/>
      <c r="CD6" s="81"/>
      <c r="CE6" s="82"/>
      <c r="CF6" s="82"/>
      <c r="CG6" s="82"/>
      <c r="CH6" s="82"/>
      <c r="CI6" s="82"/>
      <c r="CJ6" s="82"/>
      <c r="CK6" s="82"/>
      <c r="CL6" s="85"/>
      <c r="CM6" s="73"/>
      <c r="CN6" s="73"/>
      <c r="CO6" s="73"/>
      <c r="CP6" s="73"/>
      <c r="CQ6" s="73"/>
      <c r="CR6" s="74"/>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1"/>
      <c r="BV7" s="82"/>
      <c r="BW7" s="82"/>
      <c r="BX7" s="82"/>
      <c r="BY7" s="82"/>
      <c r="BZ7" s="82"/>
      <c r="CA7" s="82"/>
      <c r="CB7" s="82"/>
      <c r="CC7" s="82"/>
      <c r="CD7" s="81"/>
      <c r="CE7" s="82"/>
      <c r="CF7" s="82"/>
      <c r="CG7" s="82"/>
      <c r="CH7" s="82"/>
      <c r="CI7" s="82"/>
      <c r="CJ7" s="82"/>
      <c r="CK7" s="82"/>
      <c r="CL7" s="85"/>
      <c r="CM7" s="73"/>
      <c r="CN7" s="73"/>
      <c r="CO7" s="73"/>
      <c r="CP7" s="73"/>
      <c r="CQ7" s="73"/>
      <c r="CR7" s="74"/>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1"/>
      <c r="BV8" s="82"/>
      <c r="BW8" s="82"/>
      <c r="BX8" s="82"/>
      <c r="BY8" s="82"/>
      <c r="BZ8" s="82"/>
      <c r="CA8" s="82"/>
      <c r="CB8" s="82"/>
      <c r="CC8" s="82"/>
      <c r="CD8" s="81"/>
      <c r="CE8" s="82"/>
      <c r="CF8" s="82"/>
      <c r="CG8" s="82"/>
      <c r="CH8" s="82"/>
      <c r="CI8" s="82"/>
      <c r="CJ8" s="82"/>
      <c r="CK8" s="82"/>
      <c r="CL8" s="85"/>
      <c r="CM8" s="73"/>
      <c r="CN8" s="73"/>
      <c r="CO8" s="73"/>
      <c r="CP8" s="73"/>
      <c r="CQ8" s="73"/>
      <c r="CR8" s="74"/>
      <c r="FR8" s="2"/>
      <c r="FS8" s="2"/>
      <c r="FT8" s="2"/>
      <c r="FU8" s="2"/>
      <c r="FV8" s="2"/>
      <c r="FW8" s="2"/>
      <c r="FX8" s="2"/>
      <c r="FY8" s="2"/>
    </row>
    <row r="9" spans="1:181" ht="12.95" customHeight="1" thickBot="1" x14ac:dyDescent="0.2">
      <c r="A9" s="25" t="str">
        <f ca="1">VLOOKUP(8,list,15,FALSE)</f>
        <v>場</v>
      </c>
      <c r="B9" s="26"/>
      <c r="C9" s="26"/>
      <c r="D9" s="26"/>
      <c r="E9" s="27"/>
      <c r="F9" s="36" t="str">
        <f ca="1">IF($AA$2="入れる",VLOOKUP(8,list,4,FALSE),"")</f>
        <v>ば</v>
      </c>
      <c r="G9" s="21"/>
      <c r="H9" s="21"/>
      <c r="I9" s="22"/>
      <c r="J9" s="25" t="str">
        <f ca="1">VLOOKUP(7,list,15,FALSE)</f>
        <v>客</v>
      </c>
      <c r="K9" s="26"/>
      <c r="L9" s="26"/>
      <c r="M9" s="26"/>
      <c r="N9" s="27"/>
      <c r="O9" s="36" t="str">
        <f ca="1">IF($AA$2="入れる",VLOOKUP(7,list,4,FALSE),"")</f>
        <v>きゃく</v>
      </c>
      <c r="P9" s="21"/>
      <c r="Q9" s="21"/>
      <c r="R9" s="22"/>
      <c r="S9" s="25" t="str">
        <f ca="1">VLOOKUP(6,list,15,FALSE)</f>
        <v>寂</v>
      </c>
      <c r="T9" s="26"/>
      <c r="U9" s="26"/>
      <c r="V9" s="26"/>
      <c r="W9" s="27"/>
      <c r="X9" s="36" t="str">
        <f ca="1">IF($AA$2="入れる",VLOOKUP(6,list,4,FALSE),"")</f>
        <v>じゃく</v>
      </c>
      <c r="Y9" s="21"/>
      <c r="Z9" s="21"/>
      <c r="AA9" s="22"/>
      <c r="AB9" s="25" t="str">
        <f ca="1">VLOOKUP(5,list,15,FALSE)</f>
        <v>黙</v>
      </c>
      <c r="AC9" s="26"/>
      <c r="AD9" s="26"/>
      <c r="AE9" s="26"/>
      <c r="AF9" s="27"/>
      <c r="AG9" s="36" t="str">
        <f ca="1">IF($AA$2="入れる",VLOOKUP(5,list,4,FALSE),"")</f>
        <v>もく</v>
      </c>
      <c r="AH9" s="21"/>
      <c r="AI9" s="21"/>
      <c r="AJ9" s="22"/>
      <c r="AK9" s="25" t="str">
        <f ca="1">VLOOKUP(4,list,15,FALSE)</f>
        <v>斉</v>
      </c>
      <c r="AL9" s="26"/>
      <c r="AM9" s="26"/>
      <c r="AN9" s="26"/>
      <c r="AO9" s="27"/>
      <c r="AP9" s="36" t="str">
        <f ca="1">IF($AA$2="入れる",VLOOKUP(4,list,4,FALSE),"")</f>
        <v>せい</v>
      </c>
      <c r="AQ9" s="21"/>
      <c r="AR9" s="21"/>
      <c r="AS9" s="22"/>
      <c r="AT9" s="25" t="str">
        <f ca="1">VLOOKUP(3,list,15,FALSE)</f>
        <v>か</v>
      </c>
      <c r="AU9" s="26"/>
      <c r="AV9" s="26"/>
      <c r="AW9" s="26"/>
      <c r="AX9" s="27"/>
      <c r="AY9" s="36" t="str">
        <f ca="1">IF($AA$2="入れる",VLOOKUP(3,list,4,FALSE),"")</f>
        <v/>
      </c>
      <c r="AZ9" s="21"/>
      <c r="BA9" s="21"/>
      <c r="BB9" s="22"/>
      <c r="BC9" s="25" t="str">
        <f ca="1">VLOOKUP(2,list,15,FALSE)</f>
        <v>を</v>
      </c>
      <c r="BD9" s="26"/>
      <c r="BE9" s="26"/>
      <c r="BF9" s="26"/>
      <c r="BG9" s="27"/>
      <c r="BH9" s="36" t="str">
        <f ca="1">IF($AA$2="入れる",VLOOKUP(2,list,4,FALSE),"")</f>
        <v/>
      </c>
      <c r="BI9" s="21"/>
      <c r="BJ9" s="21"/>
      <c r="BK9" s="21"/>
      <c r="BL9" s="25" t="str">
        <f ca="1">VLOOKUP(1,list,15,FALSE)</f>
        <v>ン</v>
      </c>
      <c r="BM9" s="26"/>
      <c r="BN9" s="26"/>
      <c r="BO9" s="26"/>
      <c r="BP9" s="27"/>
      <c r="BQ9" s="21" t="str">
        <f ca="1">IF($AA$2="入れる",VLOOKUP(1,list,4,FALSE),"")</f>
        <v/>
      </c>
      <c r="BR9" s="21"/>
      <c r="BS9" s="21"/>
      <c r="BT9" s="22"/>
      <c r="BU9" s="81"/>
      <c r="BV9" s="82"/>
      <c r="BW9" s="82"/>
      <c r="BX9" s="82"/>
      <c r="BY9" s="82"/>
      <c r="BZ9" s="82"/>
      <c r="CA9" s="82"/>
      <c r="CB9" s="82"/>
      <c r="CC9" s="82"/>
      <c r="CD9" s="81"/>
      <c r="CE9" s="82"/>
      <c r="CF9" s="82"/>
      <c r="CG9" s="82"/>
      <c r="CH9" s="82"/>
      <c r="CI9" s="82"/>
      <c r="CJ9" s="82"/>
      <c r="CK9" s="82"/>
      <c r="CL9" s="85"/>
      <c r="CM9" s="73"/>
      <c r="CN9" s="73"/>
      <c r="CO9" s="73"/>
      <c r="CP9" s="73"/>
      <c r="CQ9" s="73"/>
      <c r="CR9" s="74"/>
      <c r="EW9" s="19"/>
      <c r="EX9" s="19"/>
      <c r="EY9" s="19"/>
      <c r="EZ9" s="19"/>
      <c r="FB9" s="19"/>
      <c r="FC9" s="19"/>
      <c r="FD9" s="19"/>
      <c r="FE9" s="19"/>
      <c r="FF9" s="19"/>
      <c r="FG9" s="19"/>
      <c r="FH9" s="19"/>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1"/>
      <c r="BV10" s="82"/>
      <c r="BW10" s="82"/>
      <c r="BX10" s="82"/>
      <c r="BY10" s="82"/>
      <c r="BZ10" s="82"/>
      <c r="CA10" s="82"/>
      <c r="CB10" s="82"/>
      <c r="CC10" s="82"/>
      <c r="CD10" s="81"/>
      <c r="CE10" s="82"/>
      <c r="CF10" s="82"/>
      <c r="CG10" s="82"/>
      <c r="CH10" s="82"/>
      <c r="CI10" s="82"/>
      <c r="CJ10" s="82"/>
      <c r="CK10" s="82"/>
      <c r="CL10" s="85"/>
      <c r="CM10" s="73"/>
      <c r="CN10" s="73"/>
      <c r="CO10" s="73"/>
      <c r="CP10" s="73"/>
      <c r="CQ10" s="73"/>
      <c r="CR10" s="74"/>
      <c r="EW10" s="19"/>
      <c r="EX10" s="19"/>
      <c r="EY10" s="19"/>
      <c r="EZ10" s="19"/>
      <c r="FB10" s="19"/>
      <c r="FC10" s="19"/>
      <c r="FD10" s="19"/>
      <c r="FE10" s="19"/>
      <c r="FF10" s="19"/>
      <c r="FG10" s="19"/>
      <c r="FH10" s="19"/>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1"/>
      <c r="BV11" s="82"/>
      <c r="BW11" s="82"/>
      <c r="BX11" s="82"/>
      <c r="BY11" s="82"/>
      <c r="BZ11" s="82"/>
      <c r="CA11" s="82"/>
      <c r="CB11" s="82"/>
      <c r="CC11" s="82"/>
      <c r="CD11" s="81"/>
      <c r="CE11" s="82"/>
      <c r="CF11" s="82"/>
      <c r="CG11" s="82"/>
      <c r="CH11" s="82"/>
      <c r="CI11" s="82"/>
      <c r="CJ11" s="82"/>
      <c r="CK11" s="82"/>
      <c r="CL11" s="85"/>
      <c r="CM11" s="73"/>
      <c r="CN11" s="73"/>
      <c r="CO11" s="73"/>
      <c r="CP11" s="73"/>
      <c r="CQ11" s="73"/>
      <c r="CR11" s="74"/>
      <c r="EW11" s="19"/>
      <c r="EX11" s="19"/>
      <c r="EY11" s="19"/>
      <c r="EZ11" s="19"/>
      <c r="FB11" s="19"/>
      <c r="FC11" s="19"/>
      <c r="FD11" s="19"/>
      <c r="FE11" s="19"/>
      <c r="FF11" s="19"/>
      <c r="FG11" s="19"/>
      <c r="FH11" s="19"/>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1"/>
      <c r="BV12" s="82"/>
      <c r="BW12" s="82"/>
      <c r="BX12" s="82"/>
      <c r="BY12" s="82"/>
      <c r="BZ12" s="82"/>
      <c r="CA12" s="82"/>
      <c r="CB12" s="82"/>
      <c r="CC12" s="82"/>
      <c r="CD12" s="81"/>
      <c r="CE12" s="82"/>
      <c r="CF12" s="82"/>
      <c r="CG12" s="82"/>
      <c r="CH12" s="82"/>
      <c r="CI12" s="82"/>
      <c r="CJ12" s="82"/>
      <c r="CK12" s="82"/>
      <c r="CL12" s="85"/>
      <c r="CM12" s="73"/>
      <c r="CN12" s="73"/>
      <c r="CO12" s="73"/>
      <c r="CP12" s="73"/>
      <c r="CQ12" s="73"/>
      <c r="CR12" s="74"/>
      <c r="EW12" s="19"/>
      <c r="EX12" s="19"/>
      <c r="EY12" s="19"/>
      <c r="EZ12" s="19"/>
      <c r="FB12" s="19"/>
      <c r="FC12" s="19"/>
      <c r="FD12" s="19"/>
      <c r="FE12" s="19"/>
      <c r="FF12" s="19"/>
      <c r="FG12" s="19"/>
      <c r="FH12" s="19"/>
    </row>
    <row r="13" spans="1:181" ht="12.95" customHeight="1" thickBot="1" x14ac:dyDescent="0.2">
      <c r="A13" s="25" t="str">
        <f ca="1">VLOOKUP(8,list,16,FALSE)</f>
        <v>の</v>
      </c>
      <c r="B13" s="26"/>
      <c r="C13" s="26"/>
      <c r="D13" s="26"/>
      <c r="E13" s="27"/>
      <c r="F13" s="36" t="str">
        <f ca="1">IF($AA$2="入れる",VLOOKUP(8,list,5,FALSE),"")</f>
        <v/>
      </c>
      <c r="G13" s="21"/>
      <c r="H13" s="21"/>
      <c r="I13" s="22"/>
      <c r="J13" s="25" t="str">
        <f ca="1">VLOOKUP(7,list,16,FALSE)</f>
        <v>の</v>
      </c>
      <c r="K13" s="26"/>
      <c r="L13" s="26"/>
      <c r="M13" s="26"/>
      <c r="N13" s="27"/>
      <c r="O13" s="36" t="str">
        <f ca="1">IF($AA$2="入れる",VLOOKUP(7,list,5,FALSE),"")</f>
        <v/>
      </c>
      <c r="P13" s="21"/>
      <c r="Q13" s="21"/>
      <c r="R13" s="22"/>
      <c r="S13" s="25" t="str">
        <f ca="1">VLOOKUP(6,list,16,FALSE)</f>
        <v>の</v>
      </c>
      <c r="T13" s="26"/>
      <c r="U13" s="26"/>
      <c r="V13" s="26"/>
      <c r="W13" s="27"/>
      <c r="X13" s="36" t="str">
        <f ca="1">IF($AA$2="入れる",VLOOKUP(6,list,5,FALSE),"")</f>
        <v/>
      </c>
      <c r="Y13" s="21"/>
      <c r="Z13" s="21"/>
      <c r="AA13" s="22"/>
      <c r="AB13" s="25" t="str">
        <f ca="1">VLOOKUP(5,list,16,FALSE)</f>
        <v>し</v>
      </c>
      <c r="AC13" s="26"/>
      <c r="AD13" s="26"/>
      <c r="AE13" s="26"/>
      <c r="AF13" s="27"/>
      <c r="AG13" s="36" t="str">
        <f ca="1">IF($AA$2="入れる",VLOOKUP(5,list,5,FALSE),"")</f>
        <v/>
      </c>
      <c r="AH13" s="21"/>
      <c r="AI13" s="21"/>
      <c r="AJ13" s="22"/>
      <c r="AK13" s="25" t="str">
        <f ca="1">VLOOKUP(4,list,16,FALSE)</f>
        <v>に</v>
      </c>
      <c r="AL13" s="26"/>
      <c r="AM13" s="26"/>
      <c r="AN13" s="26"/>
      <c r="AO13" s="27"/>
      <c r="AP13" s="36" t="str">
        <f ca="1">IF($AA$2="入れる",VLOOKUP(4,list,5,FALSE),"")</f>
        <v/>
      </c>
      <c r="AQ13" s="21"/>
      <c r="AR13" s="21"/>
      <c r="AS13" s="22"/>
      <c r="AT13" s="25" t="str">
        <f ca="1">VLOOKUP(3,list,16,FALSE)</f>
        <v>他</v>
      </c>
      <c r="AU13" s="26"/>
      <c r="AV13" s="26"/>
      <c r="AW13" s="26"/>
      <c r="AX13" s="27"/>
      <c r="AY13" s="36" t="str">
        <f ca="1">IF($AA$2="入れる",VLOOKUP(3,list,5,FALSE),"")</f>
        <v>ほか</v>
      </c>
      <c r="AZ13" s="21"/>
      <c r="BA13" s="21"/>
      <c r="BB13" s="22"/>
      <c r="BC13" s="25" t="str">
        <f ca="1">VLOOKUP(2,list,16,FALSE)</f>
        <v>網</v>
      </c>
      <c r="BD13" s="26"/>
      <c r="BE13" s="26"/>
      <c r="BF13" s="26"/>
      <c r="BG13" s="27"/>
      <c r="BH13" s="36" t="str">
        <f ca="1">IF($AA$2="入れる",VLOOKUP(2,list,5,FALSE),"")</f>
        <v>あみ</v>
      </c>
      <c r="BI13" s="21"/>
      <c r="BJ13" s="21"/>
      <c r="BK13" s="21"/>
      <c r="BL13" s="25" t="str">
        <f ca="1">VLOOKUP(1,list,16,FALSE)</f>
        <v>ト</v>
      </c>
      <c r="BM13" s="26"/>
      <c r="BN13" s="26"/>
      <c r="BO13" s="26"/>
      <c r="BP13" s="27"/>
      <c r="BQ13" s="21" t="str">
        <f ca="1">IF($AA$2="入れる",VLOOKUP(1,list,5,FALSE),"")</f>
        <v/>
      </c>
      <c r="BR13" s="21"/>
      <c r="BS13" s="21"/>
      <c r="BT13" s="22"/>
      <c r="BU13" s="81"/>
      <c r="BV13" s="82"/>
      <c r="BW13" s="82"/>
      <c r="BX13" s="82"/>
      <c r="BY13" s="82"/>
      <c r="BZ13" s="82"/>
      <c r="CA13" s="82"/>
      <c r="CB13" s="82"/>
      <c r="CC13" s="82"/>
      <c r="CD13" s="81"/>
      <c r="CE13" s="82"/>
      <c r="CF13" s="82"/>
      <c r="CG13" s="82"/>
      <c r="CH13" s="82"/>
      <c r="CI13" s="82"/>
      <c r="CJ13" s="82"/>
      <c r="CK13" s="82"/>
      <c r="CL13" s="85"/>
      <c r="CM13" s="73"/>
      <c r="CN13" s="73"/>
      <c r="CO13" s="73"/>
      <c r="CP13" s="73"/>
      <c r="CQ13" s="73"/>
      <c r="CR13" s="74"/>
      <c r="EV13" s="19"/>
      <c r="EW13" s="19"/>
      <c r="EX13" s="19"/>
      <c r="EY13" s="19"/>
      <c r="EZ13" s="19"/>
      <c r="FB13" s="19"/>
      <c r="FC13" s="19"/>
      <c r="FD13" s="19"/>
      <c r="FE13" s="19"/>
      <c r="FF13" s="19"/>
      <c r="FG13" s="19"/>
      <c r="FH13" s="19"/>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1"/>
      <c r="BV14" s="82"/>
      <c r="BW14" s="82"/>
      <c r="BX14" s="82"/>
      <c r="BY14" s="82"/>
      <c r="BZ14" s="82"/>
      <c r="CA14" s="82"/>
      <c r="CB14" s="82"/>
      <c r="CC14" s="82"/>
      <c r="CD14" s="81"/>
      <c r="CE14" s="82"/>
      <c r="CF14" s="82"/>
      <c r="CG14" s="82"/>
      <c r="CH14" s="82"/>
      <c r="CI14" s="82"/>
      <c r="CJ14" s="82"/>
      <c r="CK14" s="82"/>
      <c r="CL14" s="85"/>
      <c r="CM14" s="75"/>
      <c r="CN14" s="75"/>
      <c r="CO14" s="75"/>
      <c r="CP14" s="75"/>
      <c r="CQ14" s="75"/>
      <c r="CR14" s="76"/>
      <c r="EV14" s="19"/>
      <c r="EW14" s="19"/>
      <c r="EX14" s="19"/>
      <c r="EY14" s="19"/>
      <c r="EZ14" s="19"/>
      <c r="FB14" s="19"/>
      <c r="FC14" s="19"/>
      <c r="FD14" s="19"/>
      <c r="FE14" s="19"/>
      <c r="FF14" s="19"/>
      <c r="FG14" s="19"/>
      <c r="FH14" s="19"/>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1"/>
      <c r="BV15" s="82"/>
      <c r="BW15" s="82"/>
      <c r="BX15" s="82"/>
      <c r="BY15" s="82"/>
      <c r="BZ15" s="82"/>
      <c r="CA15" s="82"/>
      <c r="CB15" s="82"/>
      <c r="CC15" s="82"/>
      <c r="CD15" s="81"/>
      <c r="CE15" s="82"/>
      <c r="CF15" s="82"/>
      <c r="CG15" s="82"/>
      <c r="CH15" s="82"/>
      <c r="CI15" s="82"/>
      <c r="CJ15" s="82"/>
      <c r="CK15" s="82"/>
      <c r="CL15" s="85"/>
      <c r="CM15" s="75"/>
      <c r="CN15" s="75"/>
      <c r="CO15" s="75"/>
      <c r="CP15" s="75"/>
      <c r="CQ15" s="75"/>
      <c r="CR15" s="76"/>
      <c r="EV15" s="19"/>
      <c r="EW15" s="19"/>
      <c r="EX15" s="19"/>
      <c r="EY15" s="19"/>
      <c r="EZ15" s="19"/>
      <c r="FB15" s="19"/>
      <c r="FC15" s="19"/>
      <c r="FD15" s="19"/>
      <c r="FE15" s="19"/>
      <c r="FF15" s="19"/>
      <c r="FG15" s="19"/>
      <c r="FH15" s="19"/>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79" t="str">
        <f ca="1">VLOOKUP(6,yomi,2,FALSE)</f>
        <v>水が跳ねる</v>
      </c>
      <c r="BV16" s="80"/>
      <c r="BW16" s="80"/>
      <c r="BX16" s="83"/>
      <c r="BY16" s="80"/>
      <c r="BZ16" s="80"/>
      <c r="CA16" s="80"/>
      <c r="CB16" s="80"/>
      <c r="CC16" s="80"/>
      <c r="CD16" s="79" t="str">
        <f ca="1">VLOOKUP(2,yomi,2,FALSE)</f>
        <v>盛大に祝う</v>
      </c>
      <c r="CE16" s="80"/>
      <c r="CF16" s="80"/>
      <c r="CG16" s="83"/>
      <c r="CH16" s="80"/>
      <c r="CI16" s="80"/>
      <c r="CJ16" s="80"/>
      <c r="CK16" s="80"/>
      <c r="CL16" s="84"/>
      <c r="CM16" s="77"/>
      <c r="CN16" s="77"/>
      <c r="CO16" s="77"/>
      <c r="CP16" s="77"/>
      <c r="CQ16" s="77"/>
      <c r="CR16" s="78"/>
      <c r="EV16" s="19"/>
      <c r="EW16" s="19"/>
      <c r="EX16" s="19"/>
      <c r="EY16" s="19"/>
      <c r="EZ16" s="19"/>
      <c r="FB16" s="19"/>
      <c r="FC16" s="19"/>
      <c r="FD16" s="19"/>
      <c r="FE16" s="19"/>
      <c r="FF16" s="19"/>
      <c r="FG16" s="19"/>
      <c r="FH16" s="19"/>
    </row>
    <row r="17" spans="1:96" ht="12.95" customHeight="1" thickBot="1" x14ac:dyDescent="0.2">
      <c r="A17" s="25" t="str">
        <f ca="1">VLOOKUP(8,list,17,FALSE)</f>
        <v>片</v>
      </c>
      <c r="B17" s="26"/>
      <c r="C17" s="26"/>
      <c r="D17" s="26"/>
      <c r="E17" s="27"/>
      <c r="F17" s="36" t="str">
        <f ca="1">IF($AA$2="入れる",VLOOKUP(8,list,6,FALSE),"")</f>
        <v>かた</v>
      </c>
      <c r="G17" s="21"/>
      <c r="H17" s="21"/>
      <c r="I17" s="22"/>
      <c r="J17" s="25" t="str">
        <f ca="1">VLOOKUP(7,list,17,FALSE)</f>
        <v>割</v>
      </c>
      <c r="K17" s="26"/>
      <c r="L17" s="26"/>
      <c r="M17" s="26"/>
      <c r="N17" s="27"/>
      <c r="O17" s="36" t="str">
        <f ca="1">IF($AA$2="入れる",VLOOKUP(7,list,6,FALSE),"")</f>
        <v>わ</v>
      </c>
      <c r="P17" s="21"/>
      <c r="Q17" s="21"/>
      <c r="R17" s="22"/>
      <c r="S17" s="25" t="str">
        <f ca="1">VLOOKUP(6,list,17,FALSE)</f>
        <v>中</v>
      </c>
      <c r="T17" s="26"/>
      <c r="U17" s="26"/>
      <c r="V17" s="26"/>
      <c r="W17" s="27"/>
      <c r="X17" s="36" t="str">
        <f ca="1">IF($AA$2="入れる",VLOOKUP(6,list,6,FALSE),"")</f>
        <v>なか</v>
      </c>
      <c r="Y17" s="21"/>
      <c r="Z17" s="21"/>
      <c r="AA17" s="22"/>
      <c r="AB17" s="25" t="str">
        <f ca="1">VLOOKUP(5,list,17,FALSE)</f>
        <v>て</v>
      </c>
      <c r="AC17" s="26"/>
      <c r="AD17" s="26"/>
      <c r="AE17" s="26"/>
      <c r="AF17" s="27"/>
      <c r="AG17" s="36" t="str">
        <f ca="1">IF($AA$2="入れる",VLOOKUP(5,list,6,FALSE),"")</f>
        <v/>
      </c>
      <c r="AH17" s="21"/>
      <c r="AI17" s="21"/>
      <c r="AJ17" s="22"/>
      <c r="AK17" s="25" t="str">
        <f ca="1">VLOOKUP(4,list,17,FALSE)</f>
        <v>笛</v>
      </c>
      <c r="AL17" s="26"/>
      <c r="AM17" s="26"/>
      <c r="AN17" s="26"/>
      <c r="AO17" s="27"/>
      <c r="AP17" s="36" t="str">
        <f ca="1">IF($AA$2="入れる",VLOOKUP(4,list,6,FALSE),"")</f>
        <v>ふえ</v>
      </c>
      <c r="AQ17" s="21"/>
      <c r="AR17" s="21"/>
      <c r="AS17" s="22"/>
      <c r="AT17" s="25" t="str">
        <f ca="1">VLOOKUP(3,list,17,FALSE)</f>
        <v>の</v>
      </c>
      <c r="AU17" s="26"/>
      <c r="AV17" s="26"/>
      <c r="AW17" s="26"/>
      <c r="AX17" s="27"/>
      <c r="AY17" s="36" t="str">
        <f ca="1">IF($AA$2="入れる",VLOOKUP(3,list,6,FALSE),"")</f>
        <v/>
      </c>
      <c r="AZ17" s="21"/>
      <c r="BA17" s="21"/>
      <c r="BB17" s="22"/>
      <c r="BC17" s="25" t="str">
        <f ca="1">VLOOKUP(2,list,17,FALSE)</f>
        <v>で</v>
      </c>
      <c r="BD17" s="26"/>
      <c r="BE17" s="26"/>
      <c r="BF17" s="26"/>
      <c r="BG17" s="27"/>
      <c r="BH17" s="36" t="str">
        <f ca="1">IF($AA$2="入れる",VLOOKUP(2,list,6,FALSE),"")</f>
        <v/>
      </c>
      <c r="BI17" s="21"/>
      <c r="BJ17" s="21"/>
      <c r="BK17" s="21"/>
      <c r="BL17" s="25" t="str">
        <f ca="1">VLOOKUP(1,list,17,FALSE)</f>
        <v>の</v>
      </c>
      <c r="BM17" s="26"/>
      <c r="BN17" s="26"/>
      <c r="BO17" s="26"/>
      <c r="BP17" s="27"/>
      <c r="BQ17" s="21" t="str">
        <f ca="1">IF($AA$2="入れる",VLOOKUP(1,list,6,FALSE),"")</f>
        <v/>
      </c>
      <c r="BR17" s="21"/>
      <c r="BS17" s="21"/>
      <c r="BT17" s="22"/>
      <c r="BU17" s="81"/>
      <c r="BV17" s="82"/>
      <c r="BW17" s="82"/>
      <c r="BX17" s="82"/>
      <c r="BY17" s="82"/>
      <c r="BZ17" s="82"/>
      <c r="CA17" s="82"/>
      <c r="CB17" s="82"/>
      <c r="CC17" s="82"/>
      <c r="CD17" s="81"/>
      <c r="CE17" s="82"/>
      <c r="CF17" s="82"/>
      <c r="CG17" s="82"/>
      <c r="CH17" s="82"/>
      <c r="CI17" s="82"/>
      <c r="CJ17" s="82"/>
      <c r="CK17" s="82"/>
      <c r="CL17" s="85"/>
      <c r="CM17" s="64" t="s">
        <v>10</v>
      </c>
      <c r="CN17" s="65"/>
      <c r="CO17" s="65"/>
      <c r="CP17" s="65"/>
      <c r="CQ17" s="65"/>
      <c r="CR17" s="66"/>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1"/>
      <c r="BV18" s="82"/>
      <c r="BW18" s="82"/>
      <c r="BX18" s="82"/>
      <c r="BY18" s="82"/>
      <c r="BZ18" s="82"/>
      <c r="CA18" s="82"/>
      <c r="CB18" s="82"/>
      <c r="CC18" s="82"/>
      <c r="CD18" s="81"/>
      <c r="CE18" s="82"/>
      <c r="CF18" s="82"/>
      <c r="CG18" s="82"/>
      <c r="CH18" s="82"/>
      <c r="CI18" s="82"/>
      <c r="CJ18" s="82"/>
      <c r="CK18" s="82"/>
      <c r="CL18" s="85"/>
      <c r="CM18" s="67"/>
      <c r="CN18" s="68"/>
      <c r="CO18" s="68"/>
      <c r="CP18" s="68"/>
      <c r="CQ18" s="68"/>
      <c r="CR18" s="69"/>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1"/>
      <c r="BV19" s="82"/>
      <c r="BW19" s="82"/>
      <c r="BX19" s="82"/>
      <c r="BY19" s="82"/>
      <c r="BZ19" s="82"/>
      <c r="CA19" s="82"/>
      <c r="CB19" s="82"/>
      <c r="CC19" s="82"/>
      <c r="CD19" s="81"/>
      <c r="CE19" s="82"/>
      <c r="CF19" s="82"/>
      <c r="CG19" s="82"/>
      <c r="CH19" s="82"/>
      <c r="CI19" s="82"/>
      <c r="CJ19" s="82"/>
      <c r="CK19" s="82"/>
      <c r="CL19" s="85"/>
      <c r="CM19" s="67"/>
      <c r="CN19" s="68"/>
      <c r="CO19" s="68"/>
      <c r="CP19" s="68"/>
      <c r="CQ19" s="68"/>
      <c r="CR19" s="69"/>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1"/>
      <c r="BV20" s="82"/>
      <c r="BW20" s="82"/>
      <c r="BX20" s="82"/>
      <c r="BY20" s="82"/>
      <c r="BZ20" s="82"/>
      <c r="CA20" s="82"/>
      <c r="CB20" s="82"/>
      <c r="CC20" s="82"/>
      <c r="CD20" s="81"/>
      <c r="CE20" s="82"/>
      <c r="CF20" s="82"/>
      <c r="CG20" s="82"/>
      <c r="CH20" s="82"/>
      <c r="CI20" s="82"/>
      <c r="CJ20" s="82"/>
      <c r="CK20" s="82"/>
      <c r="CL20" s="85"/>
      <c r="CM20" s="67"/>
      <c r="CN20" s="68"/>
      <c r="CO20" s="68"/>
      <c r="CP20" s="68"/>
      <c r="CQ20" s="68"/>
      <c r="CR20" s="69"/>
    </row>
    <row r="21" spans="1:96" ht="12.95" customHeight="1" thickBot="1" x14ac:dyDescent="0.2">
      <c r="A21" s="25" t="str">
        <f ca="1">VLOOKUP(8,list,18,FALSE)</f>
        <v>隅</v>
      </c>
      <c r="B21" s="26"/>
      <c r="C21" s="26"/>
      <c r="D21" s="26"/>
      <c r="E21" s="27"/>
      <c r="F21" s="36" t="str">
        <f ca="1">IF($AA$2="入れる",VLOOKUP(8,list,7,FALSE),"")</f>
        <v>すみ</v>
      </c>
      <c r="G21" s="21"/>
      <c r="H21" s="21"/>
      <c r="I21" s="22"/>
      <c r="J21" s="25" t="str">
        <f ca="1">VLOOKUP(7,list,18,FALSE)</f>
        <v>れ</v>
      </c>
      <c r="K21" s="26"/>
      <c r="L21" s="26"/>
      <c r="M21" s="26"/>
      <c r="N21" s="27"/>
      <c r="O21" s="36" t="str">
        <f ca="1">IF($AA$2="入れる",VLOOKUP(7,list,7,FALSE),"")</f>
        <v/>
      </c>
      <c r="P21" s="21"/>
      <c r="Q21" s="21"/>
      <c r="R21" s="22"/>
      <c r="S21" s="25" t="str">
        <f ca="1">VLOOKUP(6,list,18,FALSE)</f>
        <v>で</v>
      </c>
      <c r="T21" s="26"/>
      <c r="U21" s="26"/>
      <c r="V21" s="26"/>
      <c r="W21" s="27"/>
      <c r="X21" s="36" t="str">
        <f ca="1">IF($AA$2="入れる",VLOOKUP(6,list,7,FALSE),"")</f>
        <v/>
      </c>
      <c r="Y21" s="21"/>
      <c r="Z21" s="21"/>
      <c r="AA21" s="22"/>
      <c r="AB21" s="25" t="str">
        <f ca="1">VLOOKUP(5,list,18,FALSE)</f>
        <v>深</v>
      </c>
      <c r="AC21" s="26"/>
      <c r="AD21" s="26"/>
      <c r="AE21" s="26"/>
      <c r="AF21" s="27"/>
      <c r="AG21" s="36" t="str">
        <f ca="1">IF($AA$2="入れる",VLOOKUP(5,list,7,FALSE),"")</f>
        <v>ふか</v>
      </c>
      <c r="AH21" s="21"/>
      <c r="AI21" s="21"/>
      <c r="AJ21" s="22"/>
      <c r="AK21" s="25" t="str">
        <f ca="1">VLOOKUP(4,list,18,FALSE)</f>
        <v>を</v>
      </c>
      <c r="AL21" s="26"/>
      <c r="AM21" s="26"/>
      <c r="AN21" s="26"/>
      <c r="AO21" s="27"/>
      <c r="AP21" s="36" t="str">
        <f ca="1">IF($AA$2="入れる",VLOOKUP(4,list,7,FALSE),"")</f>
        <v/>
      </c>
      <c r="AQ21" s="21"/>
      <c r="AR21" s="21"/>
      <c r="AS21" s="22"/>
      <c r="AT21" s="25" t="str">
        <f ca="1">VLOOKUP(3,list,18,FALSE)</f>
        <v>人</v>
      </c>
      <c r="AU21" s="26"/>
      <c r="AV21" s="26"/>
      <c r="AW21" s="26"/>
      <c r="AX21" s="27"/>
      <c r="AY21" s="36" t="str">
        <f ca="1">IF($AA$2="入れる",VLOOKUP(3,list,7,FALSE),"")</f>
        <v>ひと</v>
      </c>
      <c r="AZ21" s="21"/>
      <c r="BA21" s="21"/>
      <c r="BB21" s="22"/>
      <c r="BC21" s="25" t="str">
        <f ca="1">VLOOKUP(2,list,18,FALSE)</f>
        <v>す</v>
      </c>
      <c r="BD21" s="26"/>
      <c r="BE21" s="26"/>
      <c r="BF21" s="26"/>
      <c r="BG21" s="27"/>
      <c r="BH21" s="36" t="str">
        <f ca="1">IF($AA$2="入れる",VLOOKUP(2,list,7,FALSE),"")</f>
        <v/>
      </c>
      <c r="BI21" s="21"/>
      <c r="BJ21" s="21"/>
      <c r="BK21" s="21"/>
      <c r="BL21" s="25" t="str">
        <f ca="1">VLOOKUP(1,list,18,FALSE)</f>
        <v>陰</v>
      </c>
      <c r="BM21" s="26"/>
      <c r="BN21" s="26"/>
      <c r="BO21" s="26"/>
      <c r="BP21" s="27"/>
      <c r="BQ21" s="21" t="str">
        <f ca="1">IF($AA$2="入れる",VLOOKUP(1,list,7,FALSE),"")</f>
        <v>かげ</v>
      </c>
      <c r="BR21" s="21"/>
      <c r="BS21" s="21"/>
      <c r="BT21" s="22"/>
      <c r="BU21" s="81"/>
      <c r="BV21" s="82"/>
      <c r="BW21" s="82"/>
      <c r="BX21" s="82"/>
      <c r="BY21" s="82"/>
      <c r="BZ21" s="82"/>
      <c r="CA21" s="82"/>
      <c r="CB21" s="82"/>
      <c r="CC21" s="82"/>
      <c r="CD21" s="81"/>
      <c r="CE21" s="82"/>
      <c r="CF21" s="82"/>
      <c r="CG21" s="82"/>
      <c r="CH21" s="82"/>
      <c r="CI21" s="82"/>
      <c r="CJ21" s="82"/>
      <c r="CK21" s="82"/>
      <c r="CL21" s="85"/>
      <c r="CM21" s="68"/>
      <c r="CN21" s="68"/>
      <c r="CO21" s="68"/>
      <c r="CP21" s="68"/>
      <c r="CQ21" s="68"/>
      <c r="CR21" s="69"/>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1"/>
      <c r="BV22" s="82"/>
      <c r="BW22" s="82"/>
      <c r="BX22" s="82"/>
      <c r="BY22" s="82"/>
      <c r="BZ22" s="82"/>
      <c r="CA22" s="82"/>
      <c r="CB22" s="82"/>
      <c r="CC22" s="82"/>
      <c r="CD22" s="81"/>
      <c r="CE22" s="82"/>
      <c r="CF22" s="82"/>
      <c r="CG22" s="82"/>
      <c r="CH22" s="82"/>
      <c r="CI22" s="82"/>
      <c r="CJ22" s="82"/>
      <c r="CK22" s="82"/>
      <c r="CL22" s="85"/>
      <c r="CM22" s="68"/>
      <c r="CN22" s="68"/>
      <c r="CO22" s="68"/>
      <c r="CP22" s="68"/>
      <c r="CQ22" s="68"/>
      <c r="CR22" s="69"/>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1"/>
      <c r="BV23" s="82"/>
      <c r="BW23" s="82"/>
      <c r="BX23" s="82"/>
      <c r="BY23" s="82"/>
      <c r="BZ23" s="82"/>
      <c r="CA23" s="82"/>
      <c r="CB23" s="82"/>
      <c r="CC23" s="82"/>
      <c r="CD23" s="81"/>
      <c r="CE23" s="82"/>
      <c r="CF23" s="82"/>
      <c r="CG23" s="82"/>
      <c r="CH23" s="82"/>
      <c r="CI23" s="82"/>
      <c r="CJ23" s="82"/>
      <c r="CK23" s="82"/>
      <c r="CL23" s="85"/>
      <c r="CM23" s="68"/>
      <c r="CN23" s="68"/>
      <c r="CO23" s="68"/>
      <c r="CP23" s="68"/>
      <c r="CQ23" s="68"/>
      <c r="CR23" s="69"/>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1"/>
      <c r="BV24" s="82"/>
      <c r="BW24" s="82"/>
      <c r="BX24" s="82"/>
      <c r="BY24" s="82"/>
      <c r="BZ24" s="82"/>
      <c r="CA24" s="82"/>
      <c r="CB24" s="82"/>
      <c r="CC24" s="82"/>
      <c r="CD24" s="81"/>
      <c r="CE24" s="82"/>
      <c r="CF24" s="82"/>
      <c r="CG24" s="82"/>
      <c r="CH24" s="82"/>
      <c r="CI24" s="82"/>
      <c r="CJ24" s="82"/>
      <c r="CK24" s="82"/>
      <c r="CL24" s="85"/>
      <c r="CM24" s="68"/>
      <c r="CN24" s="68"/>
      <c r="CO24" s="68"/>
      <c r="CP24" s="68"/>
      <c r="CQ24" s="68"/>
      <c r="CR24" s="69"/>
    </row>
    <row r="25" spans="1:96" ht="12.95" customHeight="1" thickBot="1" x14ac:dyDescent="0.2">
      <c r="A25" s="25" t="str">
        <f ca="1">VLOOKUP(8,list,19,FALSE)</f>
        <v>に</v>
      </c>
      <c r="B25" s="26"/>
      <c r="C25" s="26"/>
      <c r="D25" s="26"/>
      <c r="E25" s="27"/>
      <c r="F25" s="36" t="str">
        <f ca="1">IF($AA$2="入れる",VLOOKUP(8,list,8,FALSE),"")</f>
        <v/>
      </c>
      <c r="G25" s="21"/>
      <c r="H25" s="21"/>
      <c r="I25" s="22"/>
      <c r="J25" s="25" t="str">
        <f ca="1">VLOOKUP(7,list,19,FALSE)</f>
        <v>る</v>
      </c>
      <c r="K25" s="26"/>
      <c r="L25" s="26"/>
      <c r="M25" s="26"/>
      <c r="N25" s="27"/>
      <c r="O25" s="36" t="str">
        <f ca="1">IF($AA$2="入れる",VLOOKUP(7,list,8,FALSE),"")</f>
        <v/>
      </c>
      <c r="P25" s="21"/>
      <c r="Q25" s="21"/>
      <c r="R25" s="22"/>
      <c r="S25" s="25" t="str">
        <f ca="1">VLOOKUP(6,list,19,FALSE)</f>
        <v>耳</v>
      </c>
      <c r="T25" s="26"/>
      <c r="U25" s="26"/>
      <c r="V25" s="26"/>
      <c r="W25" s="27"/>
      <c r="X25" s="36" t="str">
        <f ca="1">IF($AA$2="入れる",VLOOKUP(6,list,8,FALSE),"")</f>
        <v>みみ</v>
      </c>
      <c r="Y25" s="21"/>
      <c r="Z25" s="21"/>
      <c r="AA25" s="22"/>
      <c r="AB25" s="25" t="str">
        <f ca="1">VLOOKUP(5,list,19,FALSE)</f>
        <v>く</v>
      </c>
      <c r="AC25" s="26"/>
      <c r="AD25" s="26"/>
      <c r="AE25" s="26"/>
      <c r="AF25" s="27"/>
      <c r="AG25" s="36" t="str">
        <f ca="1">IF($AA$2="入れる",VLOOKUP(5,list,8,FALSE),"")</f>
        <v/>
      </c>
      <c r="AH25" s="21"/>
      <c r="AI25" s="21"/>
      <c r="AJ25" s="22"/>
      <c r="AK25" s="25" t="str">
        <f ca="1">VLOOKUP(4,list,19,FALSE)</f>
        <v>吹</v>
      </c>
      <c r="AL25" s="26"/>
      <c r="AM25" s="26"/>
      <c r="AN25" s="26"/>
      <c r="AO25" s="27"/>
      <c r="AP25" s="36" t="str">
        <f ca="1">IF($AA$2="入れる",VLOOKUP(4,list,8,FALSE),"")</f>
        <v>ふ</v>
      </c>
      <c r="AQ25" s="21"/>
      <c r="AR25" s="21"/>
      <c r="AS25" s="22"/>
      <c r="AT25" s="25" t="str">
        <f ca="1">VLOOKUP(3,list,19,FALSE)</f>
        <v>が</v>
      </c>
      <c r="AU25" s="26"/>
      <c r="AV25" s="26"/>
      <c r="AW25" s="26"/>
      <c r="AX25" s="27"/>
      <c r="AY25" s="36" t="str">
        <f ca="1">IF($AA$2="入れる",VLOOKUP(3,list,8,FALSE),"")</f>
        <v/>
      </c>
      <c r="AZ25" s="21"/>
      <c r="BA25" s="21"/>
      <c r="BB25" s="22"/>
      <c r="BC25" s="25" t="str">
        <f ca="1">VLOOKUP(2,list,19,FALSE)</f>
        <v>く</v>
      </c>
      <c r="BD25" s="26"/>
      <c r="BE25" s="26"/>
      <c r="BF25" s="26"/>
      <c r="BG25" s="27"/>
      <c r="BH25" s="36" t="str">
        <f ca="1">IF($AA$2="入れる",VLOOKUP(2,list,8,FALSE),"")</f>
        <v/>
      </c>
      <c r="BI25" s="21"/>
      <c r="BJ25" s="21"/>
      <c r="BK25" s="21"/>
      <c r="BL25" s="25" t="str">
        <f ca="1">VLOOKUP(1,list,19,FALSE)</f>
        <v>で</v>
      </c>
      <c r="BM25" s="26"/>
      <c r="BN25" s="26"/>
      <c r="BO25" s="26"/>
      <c r="BP25" s="27"/>
      <c r="BQ25" s="21" t="str">
        <f ca="1">IF($AA$2="入れる",VLOOKUP(1,list,8,FALSE),"")</f>
        <v/>
      </c>
      <c r="BR25" s="21"/>
      <c r="BS25" s="21"/>
      <c r="BT25" s="22"/>
      <c r="BU25" s="81"/>
      <c r="BV25" s="82"/>
      <c r="BW25" s="82"/>
      <c r="BX25" s="82"/>
      <c r="BY25" s="82"/>
      <c r="BZ25" s="82"/>
      <c r="CA25" s="82"/>
      <c r="CB25" s="82"/>
      <c r="CC25" s="82"/>
      <c r="CD25" s="81"/>
      <c r="CE25" s="82"/>
      <c r="CF25" s="82"/>
      <c r="CG25" s="82"/>
      <c r="CH25" s="82"/>
      <c r="CI25" s="82"/>
      <c r="CJ25" s="82"/>
      <c r="CK25" s="82"/>
      <c r="CL25" s="85"/>
      <c r="CM25" s="68"/>
      <c r="CN25" s="68"/>
      <c r="CO25" s="68"/>
      <c r="CP25" s="68"/>
      <c r="CQ25" s="68"/>
      <c r="CR25" s="69"/>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1"/>
      <c r="BV26" s="82"/>
      <c r="BW26" s="82"/>
      <c r="BX26" s="82"/>
      <c r="BY26" s="82"/>
      <c r="BZ26" s="82"/>
      <c r="CA26" s="82"/>
      <c r="CB26" s="82"/>
      <c r="CC26" s="82"/>
      <c r="CD26" s="81"/>
      <c r="CE26" s="82"/>
      <c r="CF26" s="82"/>
      <c r="CG26" s="82"/>
      <c r="CH26" s="82"/>
      <c r="CI26" s="82"/>
      <c r="CJ26" s="82"/>
      <c r="CK26" s="82"/>
      <c r="CL26" s="85"/>
      <c r="CM26" s="68"/>
      <c r="CN26" s="68"/>
      <c r="CO26" s="68"/>
      <c r="CP26" s="68"/>
      <c r="CQ26" s="68"/>
      <c r="CR26" s="69"/>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79" t="str">
        <f ca="1">VLOOKUP(7,yomi,2,FALSE)</f>
        <v>寂しい</v>
      </c>
      <c r="BV27" s="80"/>
      <c r="BW27" s="80"/>
      <c r="BX27" s="83"/>
      <c r="BY27" s="80"/>
      <c r="BZ27" s="80"/>
      <c r="CA27" s="80"/>
      <c r="CB27" s="80"/>
      <c r="CC27" s="80"/>
      <c r="CD27" s="79" t="str">
        <f ca="1">VLOOKUP(3,yomi,2,FALSE)</f>
        <v>一生懸命</v>
      </c>
      <c r="CE27" s="80"/>
      <c r="CF27" s="80"/>
      <c r="CG27" s="83"/>
      <c r="CH27" s="80"/>
      <c r="CI27" s="80"/>
      <c r="CJ27" s="80"/>
      <c r="CK27" s="80"/>
      <c r="CL27" s="84"/>
      <c r="CM27" s="68"/>
      <c r="CN27" s="68"/>
      <c r="CO27" s="68"/>
      <c r="CP27" s="68"/>
      <c r="CQ27" s="68"/>
      <c r="CR27" s="69"/>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1"/>
      <c r="BV28" s="82"/>
      <c r="BW28" s="82"/>
      <c r="BX28" s="82"/>
      <c r="BY28" s="82"/>
      <c r="BZ28" s="82"/>
      <c r="CA28" s="82"/>
      <c r="CB28" s="82"/>
      <c r="CC28" s="82"/>
      <c r="CD28" s="81"/>
      <c r="CE28" s="82"/>
      <c r="CF28" s="82"/>
      <c r="CG28" s="82"/>
      <c r="CH28" s="82"/>
      <c r="CI28" s="82"/>
      <c r="CJ28" s="82"/>
      <c r="CK28" s="82"/>
      <c r="CL28" s="85"/>
      <c r="CM28" s="68"/>
      <c r="CN28" s="68"/>
      <c r="CO28" s="68"/>
      <c r="CP28" s="68"/>
      <c r="CQ28" s="68"/>
      <c r="CR28" s="69"/>
    </row>
    <row r="29" spans="1:96" ht="12.95" customHeight="1" thickBot="1" x14ac:dyDescent="0.2">
      <c r="A29" s="25" t="str">
        <f ca="1">VLOOKUP(8,list,20,FALSE)</f>
        <v>座</v>
      </c>
      <c r="B29" s="26"/>
      <c r="C29" s="26"/>
      <c r="D29" s="26"/>
      <c r="E29" s="27"/>
      <c r="F29" s="36" t="str">
        <f ca="1">IF($AA$2="入れる",VLOOKUP(8,list,9,FALSE),"")</f>
        <v>すわ</v>
      </c>
      <c r="G29" s="21"/>
      <c r="H29" s="21"/>
      <c r="I29" s="22"/>
      <c r="J29" s="25" t="str">
        <f ca="1">VLOOKUP(7,list,20,FALSE)</f>
        <v>よ</v>
      </c>
      <c r="K29" s="26"/>
      <c r="L29" s="26"/>
      <c r="M29" s="26"/>
      <c r="N29" s="27"/>
      <c r="O29" s="36" t="str">
        <f ca="1">IF($AA$2="入れる",VLOOKUP(7,list,9,FALSE),"")</f>
        <v/>
      </c>
      <c r="P29" s="21"/>
      <c r="Q29" s="21"/>
      <c r="R29" s="22"/>
      <c r="S29" s="25" t="str">
        <f ca="1">VLOOKUP(6,list,20,FALSE)</f>
        <v>を</v>
      </c>
      <c r="T29" s="26"/>
      <c r="U29" s="26"/>
      <c r="V29" s="26"/>
      <c r="W29" s="27"/>
      <c r="X29" s="36" t="str">
        <f ca="1">IF($AA$2="入れる",VLOOKUP(6,list,9,FALSE),"")</f>
        <v/>
      </c>
      <c r="Y29" s="21"/>
      <c r="Z29" s="21"/>
      <c r="AA29" s="22"/>
      <c r="AB29" s="25" t="str">
        <f ca="1">VLOOKUP(5,list,20,FALSE)</f>
        <v>考</v>
      </c>
      <c r="AC29" s="26"/>
      <c r="AD29" s="26"/>
      <c r="AE29" s="26"/>
      <c r="AF29" s="27"/>
      <c r="AG29" s="36" t="str">
        <f ca="1">IF($AA$2="入れる",VLOOKUP(5,list,9,FALSE),"")</f>
        <v>かんが</v>
      </c>
      <c r="AH29" s="21"/>
      <c r="AI29" s="21"/>
      <c r="AJ29" s="22"/>
      <c r="AK29" s="25" t="str">
        <f ca="1">VLOOKUP(4,list,20,FALSE)</f>
        <v>く</v>
      </c>
      <c r="AL29" s="26"/>
      <c r="AM29" s="26"/>
      <c r="AN29" s="26"/>
      <c r="AO29" s="27"/>
      <c r="AP29" s="36" t="str">
        <f ca="1">IF($AA$2="入れる",VLOOKUP(4,list,9,FALSE),"")</f>
        <v/>
      </c>
      <c r="AQ29" s="21"/>
      <c r="AR29" s="21"/>
      <c r="AS29" s="22"/>
      <c r="AT29" s="25" t="str">
        <f ca="1">VLOOKUP(3,list,20,FALSE)</f>
        <v>始</v>
      </c>
      <c r="AU29" s="26"/>
      <c r="AV29" s="26"/>
      <c r="AW29" s="26"/>
      <c r="AX29" s="27"/>
      <c r="AY29" s="36" t="str">
        <f ca="1">IF($AA$2="入れる",VLOOKUP(3,list,9,FALSE),"")</f>
        <v>はじ</v>
      </c>
      <c r="AZ29" s="21"/>
      <c r="BA29" s="21"/>
      <c r="BB29" s="22"/>
      <c r="BC29" s="25" t="str">
        <f ca="1">VLOOKUP(2,list,20,FALSE)</f>
        <v>う</v>
      </c>
      <c r="BD29" s="26"/>
      <c r="BE29" s="26"/>
      <c r="BF29" s="26"/>
      <c r="BG29" s="27"/>
      <c r="BH29" s="36" t="str">
        <f ca="1">IF($AA$2="入れる",VLOOKUP(2,list,9,FALSE),"")</f>
        <v/>
      </c>
      <c r="BI29" s="21"/>
      <c r="BJ29" s="21"/>
      <c r="BK29" s="21"/>
      <c r="BL29" s="25" t="str">
        <f ca="1">VLOOKUP(1,list,20,FALSE)</f>
        <v>出</v>
      </c>
      <c r="BM29" s="26"/>
      <c r="BN29" s="26"/>
      <c r="BO29" s="26"/>
      <c r="BP29" s="27"/>
      <c r="BQ29" s="21" t="str">
        <f ca="1">IF($AA$2="入れる",VLOOKUP(1,list,9,FALSE),"")</f>
        <v>で</v>
      </c>
      <c r="BR29" s="21"/>
      <c r="BS29" s="21"/>
      <c r="BT29" s="22"/>
      <c r="BU29" s="81"/>
      <c r="BV29" s="82"/>
      <c r="BW29" s="82"/>
      <c r="BX29" s="82"/>
      <c r="BY29" s="82"/>
      <c r="BZ29" s="82"/>
      <c r="CA29" s="82"/>
      <c r="CB29" s="82"/>
      <c r="CC29" s="82"/>
      <c r="CD29" s="81"/>
      <c r="CE29" s="82"/>
      <c r="CF29" s="82"/>
      <c r="CG29" s="82"/>
      <c r="CH29" s="82"/>
      <c r="CI29" s="82"/>
      <c r="CJ29" s="82"/>
      <c r="CK29" s="82"/>
      <c r="CL29" s="85"/>
      <c r="CM29" s="68"/>
      <c r="CN29" s="68"/>
      <c r="CO29" s="68"/>
      <c r="CP29" s="68"/>
      <c r="CQ29" s="68"/>
      <c r="CR29" s="69"/>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1"/>
      <c r="BV30" s="82"/>
      <c r="BW30" s="82"/>
      <c r="BX30" s="82"/>
      <c r="BY30" s="82"/>
      <c r="BZ30" s="82"/>
      <c r="CA30" s="82"/>
      <c r="CB30" s="82"/>
      <c r="CC30" s="82"/>
      <c r="CD30" s="81"/>
      <c r="CE30" s="82"/>
      <c r="CF30" s="82"/>
      <c r="CG30" s="82"/>
      <c r="CH30" s="82"/>
      <c r="CI30" s="82"/>
      <c r="CJ30" s="82"/>
      <c r="CK30" s="82"/>
      <c r="CL30" s="85"/>
      <c r="CM30" s="68"/>
      <c r="CN30" s="68"/>
      <c r="CO30" s="68"/>
      <c r="CP30" s="68"/>
      <c r="CQ30" s="68"/>
      <c r="CR30" s="69"/>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1"/>
      <c r="BV31" s="82"/>
      <c r="BW31" s="82"/>
      <c r="BX31" s="82"/>
      <c r="BY31" s="82"/>
      <c r="BZ31" s="82"/>
      <c r="CA31" s="82"/>
      <c r="CB31" s="82"/>
      <c r="CC31" s="82"/>
      <c r="CD31" s="81"/>
      <c r="CE31" s="82"/>
      <c r="CF31" s="82"/>
      <c r="CG31" s="82"/>
      <c r="CH31" s="82"/>
      <c r="CI31" s="82"/>
      <c r="CJ31" s="82"/>
      <c r="CK31" s="82"/>
      <c r="CL31" s="85"/>
      <c r="CM31" s="68"/>
      <c r="CN31" s="68"/>
      <c r="CO31" s="68"/>
      <c r="CP31" s="68"/>
      <c r="CQ31" s="68"/>
      <c r="CR31" s="69"/>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1"/>
      <c r="BV32" s="82"/>
      <c r="BW32" s="82"/>
      <c r="BX32" s="82"/>
      <c r="BY32" s="82"/>
      <c r="BZ32" s="82"/>
      <c r="CA32" s="82"/>
      <c r="CB32" s="82"/>
      <c r="CC32" s="82"/>
      <c r="CD32" s="81"/>
      <c r="CE32" s="82"/>
      <c r="CF32" s="82"/>
      <c r="CG32" s="82"/>
      <c r="CH32" s="82"/>
      <c r="CI32" s="82"/>
      <c r="CJ32" s="82"/>
      <c r="CK32" s="82"/>
      <c r="CL32" s="85"/>
      <c r="CM32" s="68"/>
      <c r="CN32" s="68"/>
      <c r="CO32" s="68"/>
      <c r="CP32" s="68"/>
      <c r="CQ32" s="68"/>
      <c r="CR32" s="69"/>
    </row>
    <row r="33" spans="1:104" ht="12.95" customHeight="1" thickBot="1" x14ac:dyDescent="0.2">
      <c r="A33" s="25" t="str">
        <f ca="1">VLOOKUP(8,list,21,FALSE)</f>
        <v>る</v>
      </c>
      <c r="B33" s="26"/>
      <c r="C33" s="26"/>
      <c r="D33" s="26"/>
      <c r="E33" s="27"/>
      <c r="F33" s="36" t="str">
        <f ca="1">IF($AA$2="入れる",VLOOKUP(8,list,10,FALSE),"")</f>
        <v/>
      </c>
      <c r="G33" s="21"/>
      <c r="H33" s="21"/>
      <c r="I33" s="22"/>
      <c r="J33" s="25" t="str">
        <f ca="1">VLOOKUP(7,list,21,FALSE)</f>
        <v>う</v>
      </c>
      <c r="K33" s="26"/>
      <c r="L33" s="26"/>
      <c r="M33" s="26"/>
      <c r="N33" s="27"/>
      <c r="O33" s="36" t="str">
        <f ca="1">IF($AA$2="入れる",VLOOKUP(7,list,10,FALSE),"")</f>
        <v/>
      </c>
      <c r="P33" s="21"/>
      <c r="Q33" s="21"/>
      <c r="R33" s="22"/>
      <c r="S33" s="25" t="str">
        <f ca="1">VLOOKUP(6,list,21,FALSE)</f>
        <v>澄</v>
      </c>
      <c r="T33" s="26"/>
      <c r="U33" s="26"/>
      <c r="V33" s="26"/>
      <c r="W33" s="27"/>
      <c r="X33" s="36" t="str">
        <f ca="1">IF($AA$2="入れる",VLOOKUP(6,list,10,FALSE),"")</f>
        <v>す</v>
      </c>
      <c r="Y33" s="21"/>
      <c r="Z33" s="21"/>
      <c r="AA33" s="22"/>
      <c r="AB33" s="25" t="str">
        <f ca="1">VLOOKUP(5,list,21,FALSE)</f>
        <v>え</v>
      </c>
      <c r="AC33" s="26"/>
      <c r="AD33" s="26"/>
      <c r="AE33" s="26"/>
      <c r="AF33" s="27"/>
      <c r="AG33" s="36" t="str">
        <f ca="1">IF($AA$2="入れる",VLOOKUP(5,list,10,FALSE),"")</f>
        <v/>
      </c>
      <c r="AH33" s="21"/>
      <c r="AI33" s="21"/>
      <c r="AJ33" s="22"/>
      <c r="AK33" s="25" t="str">
        <f ca="1">VLOOKUP(4,list,21,FALSE)</f>
        <v/>
      </c>
      <c r="AL33" s="26"/>
      <c r="AM33" s="26"/>
      <c r="AN33" s="26"/>
      <c r="AO33" s="27"/>
      <c r="AP33" s="36" t="str">
        <f ca="1">IF($AA$2="入れる",VLOOKUP(4,list,10,FALSE),"")</f>
        <v/>
      </c>
      <c r="AQ33" s="21"/>
      <c r="AR33" s="21"/>
      <c r="AS33" s="22"/>
      <c r="AT33" s="25" t="str">
        <f ca="1">VLOOKUP(3,list,21,FALSE)</f>
        <v>め</v>
      </c>
      <c r="AU33" s="26"/>
      <c r="AV33" s="26"/>
      <c r="AW33" s="26"/>
      <c r="AX33" s="27"/>
      <c r="AY33" s="36" t="str">
        <f ca="1">IF($AA$2="入れる",VLOOKUP(3,list,10,FALSE),"")</f>
        <v/>
      </c>
      <c r="AZ33" s="21"/>
      <c r="BA33" s="21"/>
      <c r="BB33" s="22"/>
      <c r="BC33" s="25" t="str">
        <f ca="1">VLOOKUP(2,list,21,FALSE)</f>
        <v/>
      </c>
      <c r="BD33" s="26"/>
      <c r="BE33" s="26"/>
      <c r="BF33" s="26"/>
      <c r="BG33" s="27"/>
      <c r="BH33" s="36" t="str">
        <f ca="1">IF($AA$2="入れる",VLOOKUP(2,list,10,FALSE),"")</f>
        <v/>
      </c>
      <c r="BI33" s="21"/>
      <c r="BJ33" s="21"/>
      <c r="BK33" s="21"/>
      <c r="BL33" s="25" t="str">
        <f ca="1">VLOOKUP(1,list,21,FALSE)</f>
        <v>番</v>
      </c>
      <c r="BM33" s="26"/>
      <c r="BN33" s="26"/>
      <c r="BO33" s="26"/>
      <c r="BP33" s="27"/>
      <c r="BQ33" s="21" t="str">
        <f ca="1">IF($AA$2="入れる",VLOOKUP(1,list,10,FALSE),"")</f>
        <v>ばん</v>
      </c>
      <c r="BR33" s="21"/>
      <c r="BS33" s="21"/>
      <c r="BT33" s="22"/>
      <c r="BU33" s="81"/>
      <c r="BV33" s="82"/>
      <c r="BW33" s="82"/>
      <c r="BX33" s="82"/>
      <c r="BY33" s="82"/>
      <c r="BZ33" s="82"/>
      <c r="CA33" s="82"/>
      <c r="CB33" s="82"/>
      <c r="CC33" s="82"/>
      <c r="CD33" s="81"/>
      <c r="CE33" s="82"/>
      <c r="CF33" s="82"/>
      <c r="CG33" s="82"/>
      <c r="CH33" s="82"/>
      <c r="CI33" s="82"/>
      <c r="CJ33" s="82"/>
      <c r="CK33" s="82"/>
      <c r="CL33" s="85"/>
      <c r="CM33" s="68"/>
      <c r="CN33" s="68"/>
      <c r="CO33" s="68"/>
      <c r="CP33" s="68"/>
      <c r="CQ33" s="68"/>
      <c r="CR33" s="69"/>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1"/>
      <c r="BV34" s="82"/>
      <c r="BW34" s="82"/>
      <c r="BX34" s="82"/>
      <c r="BY34" s="82"/>
      <c r="BZ34" s="82"/>
      <c r="CA34" s="82"/>
      <c r="CB34" s="82"/>
      <c r="CC34" s="82"/>
      <c r="CD34" s="81"/>
      <c r="CE34" s="82"/>
      <c r="CF34" s="82"/>
      <c r="CG34" s="82"/>
      <c r="CH34" s="82"/>
      <c r="CI34" s="82"/>
      <c r="CJ34" s="82"/>
      <c r="CK34" s="82"/>
      <c r="CL34" s="85"/>
      <c r="CM34" s="68"/>
      <c r="CN34" s="68"/>
      <c r="CO34" s="68"/>
      <c r="CP34" s="68"/>
      <c r="CQ34" s="68"/>
      <c r="CR34" s="69"/>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1"/>
      <c r="BV35" s="82"/>
      <c r="BW35" s="82"/>
      <c r="BX35" s="82"/>
      <c r="BY35" s="82"/>
      <c r="BZ35" s="82"/>
      <c r="CA35" s="82"/>
      <c r="CB35" s="82"/>
      <c r="CC35" s="82"/>
      <c r="CD35" s="81"/>
      <c r="CE35" s="82"/>
      <c r="CF35" s="82"/>
      <c r="CG35" s="82"/>
      <c r="CH35" s="82"/>
      <c r="CI35" s="82"/>
      <c r="CJ35" s="82"/>
      <c r="CK35" s="82"/>
      <c r="CL35" s="85"/>
      <c r="CM35" s="68"/>
      <c r="CN35" s="68"/>
      <c r="CO35" s="68"/>
      <c r="CP35" s="68"/>
      <c r="CQ35" s="68"/>
      <c r="CR35" s="69"/>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1"/>
      <c r="BV36" s="82"/>
      <c r="BW36" s="82"/>
      <c r="BX36" s="82"/>
      <c r="BY36" s="82"/>
      <c r="BZ36" s="82"/>
      <c r="CA36" s="82"/>
      <c r="CB36" s="82"/>
      <c r="CC36" s="82"/>
      <c r="CD36" s="81"/>
      <c r="CE36" s="82"/>
      <c r="CF36" s="82"/>
      <c r="CG36" s="82"/>
      <c r="CH36" s="82"/>
      <c r="CI36" s="82"/>
      <c r="CJ36" s="82"/>
      <c r="CK36" s="82"/>
      <c r="CL36" s="85"/>
      <c r="CM36" s="68"/>
      <c r="CN36" s="68"/>
      <c r="CO36" s="68"/>
      <c r="CP36" s="68"/>
      <c r="CQ36" s="68"/>
      <c r="CR36" s="69"/>
      <c r="CZ36" s="17"/>
    </row>
    <row r="37" spans="1:104" ht="12.95" customHeight="1" thickBot="1" x14ac:dyDescent="0.2">
      <c r="A37" s="25" t="str">
        <f ca="1">VLOOKUP(8,list,22,FALSE)</f>
        <v/>
      </c>
      <c r="B37" s="26"/>
      <c r="C37" s="26"/>
      <c r="D37" s="26"/>
      <c r="E37" s="27"/>
      <c r="F37" s="36" t="str">
        <f ca="1">IF($AA$2="入れる",VLOOKUP(8,list,11,FALSE),"")</f>
        <v/>
      </c>
      <c r="G37" s="21"/>
      <c r="H37" s="21"/>
      <c r="I37" s="22"/>
      <c r="J37" s="25" t="str">
        <f ca="1">VLOOKUP(7,list,22,FALSE)</f>
        <v>な</v>
      </c>
      <c r="K37" s="26"/>
      <c r="L37" s="26"/>
      <c r="M37" s="26"/>
      <c r="N37" s="27"/>
      <c r="O37" s="36" t="str">
        <f ca="1">IF($AA$2="入れる",VLOOKUP(7,list,11,FALSE),"")</f>
        <v/>
      </c>
      <c r="P37" s="21"/>
      <c r="Q37" s="21"/>
      <c r="R37" s="22"/>
      <c r="S37" s="25" t="str">
        <f ca="1">VLOOKUP(6,list,22,FALSE)</f>
        <v>ま</v>
      </c>
      <c r="T37" s="26"/>
      <c r="U37" s="26"/>
      <c r="V37" s="26"/>
      <c r="W37" s="27"/>
      <c r="X37" s="36" t="str">
        <f ca="1">IF($AA$2="入れる",VLOOKUP(6,list,11,FALSE),"")</f>
        <v/>
      </c>
      <c r="Y37" s="21"/>
      <c r="Z37" s="21"/>
      <c r="AA37" s="22"/>
      <c r="AB37" s="25" t="str">
        <f ca="1">VLOOKUP(5,list,22,FALSE)</f>
        <v>る</v>
      </c>
      <c r="AC37" s="26"/>
      <c r="AD37" s="26"/>
      <c r="AE37" s="26"/>
      <c r="AF37" s="27"/>
      <c r="AG37" s="36" t="str">
        <f ca="1">IF($AA$2="入れる",VLOOKUP(5,list,11,FALSE),"")</f>
        <v/>
      </c>
      <c r="AH37" s="21"/>
      <c r="AI37" s="21"/>
      <c r="AJ37" s="22"/>
      <c r="AK37" s="25" t="str">
        <f ca="1">VLOOKUP(4,list,22,FALSE)</f>
        <v/>
      </c>
      <c r="AL37" s="26"/>
      <c r="AM37" s="26"/>
      <c r="AN37" s="26"/>
      <c r="AO37" s="27"/>
      <c r="AP37" s="36" t="str">
        <f ca="1">IF($AA$2="入れる",VLOOKUP(4,list,11,FALSE),"")</f>
        <v/>
      </c>
      <c r="AQ37" s="21"/>
      <c r="AR37" s="21"/>
      <c r="AS37" s="22"/>
      <c r="AT37" s="25" t="str">
        <f ca="1">VLOOKUP(3,list,22,FALSE)</f>
        <v>る</v>
      </c>
      <c r="AU37" s="26"/>
      <c r="AV37" s="26"/>
      <c r="AW37" s="26"/>
      <c r="AX37" s="27"/>
      <c r="AY37" s="36" t="str">
        <f ca="1">IF($AA$2="入れる",VLOOKUP(3,list,11,FALSE),"")</f>
        <v/>
      </c>
      <c r="AZ37" s="21"/>
      <c r="BA37" s="21"/>
      <c r="BB37" s="22"/>
      <c r="BC37" s="25" t="str">
        <f ca="1">VLOOKUP(2,list,22,FALSE)</f>
        <v/>
      </c>
      <c r="BD37" s="26"/>
      <c r="BE37" s="26"/>
      <c r="BF37" s="26"/>
      <c r="BG37" s="27"/>
      <c r="BH37" s="36" t="str">
        <f ca="1">IF($AA$2="入れる",VLOOKUP(2,list,11,FALSE),"")</f>
        <v/>
      </c>
      <c r="BI37" s="21"/>
      <c r="BJ37" s="21"/>
      <c r="BK37" s="21"/>
      <c r="BL37" s="25" t="str">
        <f ca="1">VLOOKUP(1,list,22,FALSE)</f>
        <v>を</v>
      </c>
      <c r="BM37" s="26"/>
      <c r="BN37" s="26"/>
      <c r="BO37" s="26"/>
      <c r="BP37" s="27"/>
      <c r="BQ37" s="21" t="str">
        <f ca="1">IF($AA$2="入れる",VLOOKUP(1,list,11,FALSE),"")</f>
        <v/>
      </c>
      <c r="BR37" s="21"/>
      <c r="BS37" s="21"/>
      <c r="BT37" s="22"/>
      <c r="BU37" s="81"/>
      <c r="BV37" s="82"/>
      <c r="BW37" s="82"/>
      <c r="BX37" s="82"/>
      <c r="BY37" s="82"/>
      <c r="BZ37" s="82"/>
      <c r="CA37" s="82"/>
      <c r="CB37" s="82"/>
      <c r="CC37" s="82"/>
      <c r="CD37" s="81"/>
      <c r="CE37" s="82"/>
      <c r="CF37" s="82"/>
      <c r="CG37" s="82"/>
      <c r="CH37" s="82"/>
      <c r="CI37" s="82"/>
      <c r="CJ37" s="82"/>
      <c r="CK37" s="82"/>
      <c r="CL37" s="85"/>
      <c r="CM37" s="68"/>
      <c r="CN37" s="68"/>
      <c r="CO37" s="68"/>
      <c r="CP37" s="68"/>
      <c r="CQ37" s="68"/>
      <c r="CR37" s="69"/>
      <c r="CZ37" s="20"/>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79" t="str">
        <f ca="1">VLOOKUP(8,yomi,2,FALSE)</f>
        <v>花瓶</v>
      </c>
      <c r="BV38" s="80"/>
      <c r="BW38" s="80"/>
      <c r="BX38" s="83"/>
      <c r="BY38" s="80"/>
      <c r="BZ38" s="80"/>
      <c r="CA38" s="80"/>
      <c r="CB38" s="80"/>
      <c r="CC38" s="80"/>
      <c r="CD38" s="79" t="str">
        <f ca="1">VLOOKUP(4,yomi,2,FALSE)</f>
        <v>黙る</v>
      </c>
      <c r="CE38" s="80"/>
      <c r="CF38" s="80"/>
      <c r="CG38" s="83"/>
      <c r="CH38" s="80"/>
      <c r="CI38" s="80"/>
      <c r="CJ38" s="80"/>
      <c r="CK38" s="80"/>
      <c r="CL38" s="84"/>
      <c r="CM38" s="68"/>
      <c r="CN38" s="68"/>
      <c r="CO38" s="68"/>
      <c r="CP38" s="68"/>
      <c r="CQ38" s="68"/>
      <c r="CR38" s="69"/>
      <c r="CZ38" s="20"/>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1"/>
      <c r="BV39" s="82"/>
      <c r="BW39" s="82"/>
      <c r="BX39" s="82"/>
      <c r="BY39" s="82"/>
      <c r="BZ39" s="82"/>
      <c r="CA39" s="82"/>
      <c r="CB39" s="82"/>
      <c r="CC39" s="82"/>
      <c r="CD39" s="81"/>
      <c r="CE39" s="82"/>
      <c r="CF39" s="82"/>
      <c r="CG39" s="82"/>
      <c r="CH39" s="82"/>
      <c r="CI39" s="82"/>
      <c r="CJ39" s="82"/>
      <c r="CK39" s="82"/>
      <c r="CL39" s="85"/>
      <c r="CM39" s="68"/>
      <c r="CN39" s="68"/>
      <c r="CO39" s="68"/>
      <c r="CP39" s="68"/>
      <c r="CQ39" s="68"/>
      <c r="CR39" s="69"/>
      <c r="CZ39" s="20"/>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1"/>
      <c r="BV40" s="82"/>
      <c r="BW40" s="82"/>
      <c r="BX40" s="82"/>
      <c r="BY40" s="82"/>
      <c r="BZ40" s="82"/>
      <c r="CA40" s="82"/>
      <c r="CB40" s="82"/>
      <c r="CC40" s="82"/>
      <c r="CD40" s="81"/>
      <c r="CE40" s="82"/>
      <c r="CF40" s="82"/>
      <c r="CG40" s="82"/>
      <c r="CH40" s="82"/>
      <c r="CI40" s="82"/>
      <c r="CJ40" s="82"/>
      <c r="CK40" s="82"/>
      <c r="CL40" s="85"/>
      <c r="CM40" s="68"/>
      <c r="CN40" s="68"/>
      <c r="CO40" s="68"/>
      <c r="CP40" s="68"/>
      <c r="CQ40" s="68"/>
      <c r="CR40" s="69"/>
      <c r="CZ40" s="20"/>
    </row>
    <row r="41" spans="1:104" ht="12.95" customHeight="1" thickBot="1" x14ac:dyDescent="0.2">
      <c r="A41" s="25" t="str">
        <f ca="1">VLOOKUP(8,list,23,FALSE)</f>
        <v/>
      </c>
      <c r="B41" s="26"/>
      <c r="C41" s="26"/>
      <c r="D41" s="26"/>
      <c r="E41" s="27"/>
      <c r="F41" s="36" t="str">
        <f ca="1">IF($AA$2="入れる",VLOOKUP(8,list,12,FALSE),"")</f>
        <v/>
      </c>
      <c r="G41" s="21"/>
      <c r="H41" s="21"/>
      <c r="I41" s="22"/>
      <c r="J41" s="25" t="str">
        <f ca="1">VLOOKUP(7,list,23,FALSE)</f>
        <v>拍</v>
      </c>
      <c r="K41" s="26"/>
      <c r="L41" s="26"/>
      <c r="M41" s="26"/>
      <c r="N41" s="27"/>
      <c r="O41" s="36" t="str">
        <f ca="1">IF($AA$2="入れる",VLOOKUP(7,list,12,FALSE),"")</f>
        <v>はく</v>
      </c>
      <c r="P41" s="21"/>
      <c r="Q41" s="21"/>
      <c r="R41" s="22"/>
      <c r="S41" s="25" t="str">
        <f ca="1">VLOOKUP(6,list,23,FALSE)</f>
        <v>す</v>
      </c>
      <c r="T41" s="26"/>
      <c r="U41" s="26"/>
      <c r="V41" s="26"/>
      <c r="W41" s="27"/>
      <c r="X41" s="36" t="str">
        <f ca="1">IF($AA$2="入れる",VLOOKUP(6,list,12,FALSE),"")</f>
        <v/>
      </c>
      <c r="Y41" s="21"/>
      <c r="Z41" s="21"/>
      <c r="AA41" s="22"/>
      <c r="AB41" s="25" t="str">
        <f ca="1">VLOOKUP(5,list,23,FALSE)</f>
        <v/>
      </c>
      <c r="AC41" s="26"/>
      <c r="AD41" s="26"/>
      <c r="AE41" s="26"/>
      <c r="AF41" s="27"/>
      <c r="AG41" s="36" t="str">
        <f ca="1">IF($AA$2="入れる",VLOOKUP(5,list,12,FALSE),"")</f>
        <v/>
      </c>
      <c r="AH41" s="21"/>
      <c r="AI41" s="21"/>
      <c r="AJ41" s="22"/>
      <c r="AK41" s="25" t="str">
        <f ca="1">VLOOKUP(4,list,23,FALSE)</f>
        <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
      </c>
      <c r="BD41" s="26"/>
      <c r="BE41" s="26"/>
      <c r="BF41" s="26"/>
      <c r="BG41" s="27"/>
      <c r="BH41" s="36" t="str">
        <f ca="1">IF($AA$2="入れる",VLOOKUP(2,list,12,FALSE),"")</f>
        <v/>
      </c>
      <c r="BI41" s="21"/>
      <c r="BJ41" s="21"/>
      <c r="BK41" s="21"/>
      <c r="BL41" s="25" t="str">
        <f ca="1">VLOOKUP(1,list,23,FALSE)</f>
        <v>待</v>
      </c>
      <c r="BM41" s="26"/>
      <c r="BN41" s="26"/>
      <c r="BO41" s="26"/>
      <c r="BP41" s="27"/>
      <c r="BQ41" s="21" t="str">
        <f ca="1">IF($AA$2="入れる",VLOOKUP(1,list,12,FALSE),"")</f>
        <v>ま</v>
      </c>
      <c r="BR41" s="21"/>
      <c r="BS41" s="21"/>
      <c r="BT41" s="22"/>
      <c r="BU41" s="81"/>
      <c r="BV41" s="82"/>
      <c r="BW41" s="82"/>
      <c r="BX41" s="82"/>
      <c r="BY41" s="82"/>
      <c r="BZ41" s="82"/>
      <c r="CA41" s="82"/>
      <c r="CB41" s="82"/>
      <c r="CC41" s="82"/>
      <c r="CD41" s="81"/>
      <c r="CE41" s="82"/>
      <c r="CF41" s="82"/>
      <c r="CG41" s="82"/>
      <c r="CH41" s="82"/>
      <c r="CI41" s="82"/>
      <c r="CJ41" s="82"/>
      <c r="CK41" s="82"/>
      <c r="CL41" s="85"/>
      <c r="CM41" s="68"/>
      <c r="CN41" s="68"/>
      <c r="CO41" s="68"/>
      <c r="CP41" s="68"/>
      <c r="CQ41" s="68"/>
      <c r="CR41" s="69"/>
      <c r="CZ41" s="20"/>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1"/>
      <c r="BV42" s="82"/>
      <c r="BW42" s="82"/>
      <c r="BX42" s="82"/>
      <c r="BY42" s="82"/>
      <c r="BZ42" s="82"/>
      <c r="CA42" s="82"/>
      <c r="CB42" s="82"/>
      <c r="CC42" s="82"/>
      <c r="CD42" s="81"/>
      <c r="CE42" s="82"/>
      <c r="CF42" s="82"/>
      <c r="CG42" s="82"/>
      <c r="CH42" s="82"/>
      <c r="CI42" s="82"/>
      <c r="CJ42" s="82"/>
      <c r="CK42" s="82"/>
      <c r="CL42" s="85"/>
      <c r="CM42" s="68"/>
      <c r="CN42" s="68"/>
      <c r="CO42" s="68"/>
      <c r="CP42" s="68"/>
      <c r="CQ42" s="68"/>
      <c r="CR42" s="69"/>
      <c r="CZ42" s="20"/>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1"/>
      <c r="BV43" s="82"/>
      <c r="BW43" s="82"/>
      <c r="BX43" s="82"/>
      <c r="BY43" s="82"/>
      <c r="BZ43" s="82"/>
      <c r="CA43" s="82"/>
      <c r="CB43" s="82"/>
      <c r="CC43" s="82"/>
      <c r="CD43" s="81"/>
      <c r="CE43" s="82"/>
      <c r="CF43" s="82"/>
      <c r="CG43" s="82"/>
      <c r="CH43" s="82"/>
      <c r="CI43" s="82"/>
      <c r="CJ43" s="82"/>
      <c r="CK43" s="82"/>
      <c r="CL43" s="85"/>
      <c r="CM43" s="68"/>
      <c r="CN43" s="68"/>
      <c r="CO43" s="68"/>
      <c r="CP43" s="68"/>
      <c r="CQ43" s="68"/>
      <c r="CR43" s="69"/>
      <c r="CZ43" s="20"/>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1"/>
      <c r="BV44" s="82"/>
      <c r="BW44" s="82"/>
      <c r="BX44" s="82"/>
      <c r="BY44" s="82"/>
      <c r="BZ44" s="82"/>
      <c r="CA44" s="82"/>
      <c r="CB44" s="82"/>
      <c r="CC44" s="82"/>
      <c r="CD44" s="81"/>
      <c r="CE44" s="82"/>
      <c r="CF44" s="82"/>
      <c r="CG44" s="82"/>
      <c r="CH44" s="82"/>
      <c r="CI44" s="82"/>
      <c r="CJ44" s="82"/>
      <c r="CK44" s="82"/>
      <c r="CL44" s="85"/>
      <c r="CM44" s="68"/>
      <c r="CN44" s="68"/>
      <c r="CO44" s="68"/>
      <c r="CP44" s="68"/>
      <c r="CQ44" s="68"/>
      <c r="CR44" s="69"/>
      <c r="CZ44" s="20"/>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手</v>
      </c>
      <c r="K45" s="26"/>
      <c r="L45" s="26"/>
      <c r="M45" s="26"/>
      <c r="N45" s="27"/>
      <c r="O45" s="21" t="str">
        <f ca="1">IF($AA$2="入れる",VLOOKUP(7,list,13,FALSE),"")</f>
        <v>しゅ</v>
      </c>
      <c r="P45" s="21"/>
      <c r="Q45" s="21"/>
      <c r="R45" s="21"/>
      <c r="S45" s="25" t="str">
        <f ca="1">VLOOKUP(6,list,24,FALSE)</f>
        <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つ</v>
      </c>
      <c r="BM45" s="26"/>
      <c r="BN45" s="26"/>
      <c r="BO45" s="26"/>
      <c r="BP45" s="27"/>
      <c r="BQ45" s="21" t="str">
        <f ca="1">IF($AA$2="入れる",VLOOKUP(1,list,13,FALSE),"")</f>
        <v/>
      </c>
      <c r="BR45" s="21"/>
      <c r="BS45" s="21"/>
      <c r="BT45" s="21"/>
      <c r="BU45" s="81"/>
      <c r="BV45" s="82"/>
      <c r="BW45" s="82"/>
      <c r="BX45" s="82"/>
      <c r="BY45" s="82"/>
      <c r="BZ45" s="82"/>
      <c r="CA45" s="82"/>
      <c r="CB45" s="82"/>
      <c r="CC45" s="82"/>
      <c r="CD45" s="81"/>
      <c r="CE45" s="82"/>
      <c r="CF45" s="82"/>
      <c r="CG45" s="82"/>
      <c r="CH45" s="82"/>
      <c r="CI45" s="82"/>
      <c r="CJ45" s="82"/>
      <c r="CK45" s="82"/>
      <c r="CL45" s="85"/>
      <c r="CM45" s="57" t="s">
        <v>29</v>
      </c>
      <c r="CN45" s="58"/>
      <c r="CO45" s="58"/>
      <c r="CP45" s="58"/>
      <c r="CQ45" s="58"/>
      <c r="CR45" s="59"/>
      <c r="CZ45" s="20"/>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1"/>
      <c r="BV46" s="82"/>
      <c r="BW46" s="82"/>
      <c r="BX46" s="82"/>
      <c r="BY46" s="82"/>
      <c r="BZ46" s="82"/>
      <c r="CA46" s="82"/>
      <c r="CB46" s="82"/>
      <c r="CC46" s="82"/>
      <c r="CD46" s="81"/>
      <c r="CE46" s="82"/>
      <c r="CF46" s="82"/>
      <c r="CG46" s="82"/>
      <c r="CH46" s="82"/>
      <c r="CI46" s="82"/>
      <c r="CJ46" s="82"/>
      <c r="CK46" s="82"/>
      <c r="CL46" s="85"/>
      <c r="CM46" s="60"/>
      <c r="CN46" s="58"/>
      <c r="CO46" s="58"/>
      <c r="CP46" s="58"/>
      <c r="CQ46" s="58"/>
      <c r="CR46" s="59"/>
      <c r="CZ46" s="20"/>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1"/>
      <c r="BV47" s="82"/>
      <c r="BW47" s="82"/>
      <c r="BX47" s="82"/>
      <c r="BY47" s="82"/>
      <c r="BZ47" s="82"/>
      <c r="CA47" s="82"/>
      <c r="CB47" s="82"/>
      <c r="CC47" s="82"/>
      <c r="CD47" s="81"/>
      <c r="CE47" s="82"/>
      <c r="CF47" s="82"/>
      <c r="CG47" s="82"/>
      <c r="CH47" s="82"/>
      <c r="CI47" s="82"/>
      <c r="CJ47" s="82"/>
      <c r="CK47" s="82"/>
      <c r="CL47" s="85"/>
      <c r="CM47" s="60"/>
      <c r="CN47" s="58"/>
      <c r="CO47" s="58"/>
      <c r="CP47" s="58"/>
      <c r="CQ47" s="58"/>
      <c r="CR47" s="59"/>
      <c r="CZ47" s="20"/>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86"/>
      <c r="BV48" s="87"/>
      <c r="BW48" s="87"/>
      <c r="BX48" s="87"/>
      <c r="BY48" s="87"/>
      <c r="BZ48" s="87"/>
      <c r="CA48" s="87"/>
      <c r="CB48" s="87"/>
      <c r="CC48" s="87"/>
      <c r="CD48" s="86"/>
      <c r="CE48" s="87"/>
      <c r="CF48" s="87"/>
      <c r="CG48" s="87"/>
      <c r="CH48" s="87"/>
      <c r="CI48" s="87"/>
      <c r="CJ48" s="87"/>
      <c r="CK48" s="87"/>
      <c r="CL48" s="88"/>
      <c r="CM48" s="61"/>
      <c r="CN48" s="62"/>
      <c r="CO48" s="62"/>
      <c r="CP48" s="62"/>
      <c r="CQ48" s="62"/>
      <c r="CR48" s="63"/>
      <c r="CZ48" s="20"/>
    </row>
    <row r="49" spans="1:110" ht="18.75" x14ac:dyDescent="0.15">
      <c r="A49" s="38"/>
      <c r="B49" s="38"/>
      <c r="C49" s="38"/>
      <c r="D49" s="38"/>
      <c r="E49" s="38"/>
      <c r="CZ49" s="16"/>
    </row>
    <row r="50" spans="1:110" ht="21" x14ac:dyDescent="0.15">
      <c r="CZ50" s="20"/>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9"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7" zoomScale="110" zoomScaleNormal="110" workbookViewId="0">
      <selection activeCell="D26" sqref="D26"/>
    </sheetView>
  </sheetViews>
  <sheetFormatPr defaultColWidth="9" defaultRowHeight="15.75" x14ac:dyDescent="0.15"/>
  <cols>
    <col min="1" max="1" width="3.375" style="1" bestFit="1" customWidth="1"/>
    <col min="2" max="5" width="5.375" style="15" customWidth="1"/>
    <col min="6" max="16" width="5.375" style="1" customWidth="1"/>
    <col min="17" max="24" width="3.375" style="1" bestFit="1" customWidth="1"/>
    <col min="25" max="25" width="9.25" style="1" customWidth="1"/>
    <col min="26" max="16384" width="9" style="1"/>
  </cols>
  <sheetData>
    <row r="1" spans="1:16" ht="16.5" thickBot="1" x14ac:dyDescent="0.2">
      <c r="B1" s="1" t="s">
        <v>11</v>
      </c>
    </row>
    <row r="2" spans="1:16" ht="15" x14ac:dyDescent="0.15">
      <c r="B2" s="106" t="s">
        <v>71</v>
      </c>
      <c r="C2" s="100" t="s">
        <v>83</v>
      </c>
      <c r="D2" s="100" t="s">
        <v>70</v>
      </c>
      <c r="E2" s="100" t="s">
        <v>73</v>
      </c>
      <c r="F2" s="100" t="s">
        <v>76</v>
      </c>
      <c r="G2" s="100" t="s">
        <v>79</v>
      </c>
      <c r="H2" s="100" t="s">
        <v>78</v>
      </c>
      <c r="I2" s="100" t="s">
        <v>72</v>
      </c>
      <c r="J2" s="100" t="s">
        <v>81</v>
      </c>
      <c r="K2" s="89" t="s">
        <v>75</v>
      </c>
      <c r="L2" s="89" t="s">
        <v>84</v>
      </c>
      <c r="M2" s="89" t="s">
        <v>77</v>
      </c>
      <c r="N2" s="89" t="s">
        <v>82</v>
      </c>
      <c r="O2" s="89" t="s">
        <v>80</v>
      </c>
      <c r="P2" s="91" t="s">
        <v>74</v>
      </c>
    </row>
    <row r="3" spans="1:16" thickBot="1" x14ac:dyDescent="0.2">
      <c r="B3" s="107"/>
      <c r="C3" s="101"/>
      <c r="D3" s="101"/>
      <c r="E3" s="101"/>
      <c r="F3" s="101"/>
      <c r="G3" s="101"/>
      <c r="H3" s="101"/>
      <c r="I3" s="101"/>
      <c r="J3" s="101"/>
      <c r="K3" s="90"/>
      <c r="L3" s="90"/>
      <c r="M3" s="90"/>
      <c r="N3" s="90"/>
      <c r="O3" s="90"/>
      <c r="P3" s="92"/>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2">
        <v>1</v>
      </c>
      <c r="B6" s="93" t="s">
        <v>31</v>
      </c>
      <c r="C6" s="94"/>
      <c r="D6" s="95"/>
      <c r="E6" s="104">
        <f>LEN(B6)</f>
        <v>9</v>
      </c>
      <c r="F6" s="9" t="str">
        <f>MID(B6,1,1)</f>
        <v>誰</v>
      </c>
      <c r="G6" s="10" t="str">
        <f>MID(B6,2,1)</f>
        <v>か</v>
      </c>
      <c r="H6" s="10" t="str">
        <f>MID(B6,3,1)</f>
        <v>他</v>
      </c>
      <c r="I6" s="10" t="str">
        <f>MID(B6,4,1)</f>
        <v>の</v>
      </c>
      <c r="J6" s="10" t="str">
        <f>MID(B6,5,1)</f>
        <v>人</v>
      </c>
      <c r="K6" s="10" t="str">
        <f>MID(B6,6,1)</f>
        <v>が</v>
      </c>
      <c r="L6" s="10" t="str">
        <f>MID(B6,7,1)</f>
        <v>始</v>
      </c>
      <c r="M6" s="10" t="str">
        <f>MID(B6,8,1)</f>
        <v>め</v>
      </c>
      <c r="N6" s="10" t="str">
        <f>MID(B6,9,1)</f>
        <v>る</v>
      </c>
      <c r="O6" s="10" t="str">
        <f>MID(B6,10,1)</f>
        <v/>
      </c>
      <c r="P6" s="11" t="str">
        <f>MID(B6,11,1)</f>
        <v/>
      </c>
    </row>
    <row r="7" spans="1:16" thickBot="1" x14ac:dyDescent="0.2">
      <c r="A7" s="103"/>
      <c r="B7" s="96"/>
      <c r="C7" s="97"/>
      <c r="D7" s="98"/>
      <c r="E7" s="105"/>
      <c r="F7" s="12" t="s">
        <v>38</v>
      </c>
      <c r="G7" s="13"/>
      <c r="H7" s="13" t="s">
        <v>39</v>
      </c>
      <c r="I7" s="13"/>
      <c r="J7" s="13" t="s">
        <v>14</v>
      </c>
      <c r="K7" s="13"/>
      <c r="L7" s="13" t="s">
        <v>40</v>
      </c>
      <c r="M7" s="13"/>
      <c r="N7" s="13"/>
      <c r="O7" s="13"/>
      <c r="P7" s="14"/>
    </row>
    <row r="8" spans="1:16" ht="15" x14ac:dyDescent="0.15">
      <c r="A8" s="102">
        <v>2</v>
      </c>
      <c r="B8" s="99" t="s">
        <v>32</v>
      </c>
      <c r="C8" s="97"/>
      <c r="D8" s="98"/>
      <c r="E8" s="104">
        <f>LEN(B8)</f>
        <v>8</v>
      </c>
      <c r="F8" s="9" t="str">
        <f>MID(B8,1,1)</f>
        <v>広</v>
      </c>
      <c r="G8" s="10" t="str">
        <f>MID(B8,2,1)</f>
        <v>場</v>
      </c>
      <c r="H8" s="10" t="str">
        <f>MID(B8,3,1)</f>
        <v>の</v>
      </c>
      <c r="I8" s="10" t="str">
        <f>MID(B8,4,1)</f>
        <v>片</v>
      </c>
      <c r="J8" s="10" t="str">
        <f>MID(B8,5,1)</f>
        <v>隅</v>
      </c>
      <c r="K8" s="10" t="str">
        <f>MID(B8,6,1)</f>
        <v>に</v>
      </c>
      <c r="L8" s="10" t="str">
        <f>MID(B8,7,1)</f>
        <v>座</v>
      </c>
      <c r="M8" s="10" t="str">
        <f>MID(B8,8,1)</f>
        <v>る</v>
      </c>
      <c r="N8" s="10" t="str">
        <f>MID(B8,9,1)</f>
        <v/>
      </c>
      <c r="O8" s="10" t="str">
        <f>MID(B8,10,1)</f>
        <v/>
      </c>
      <c r="P8" s="11" t="str">
        <f>MID(B8,11,1)</f>
        <v/>
      </c>
    </row>
    <row r="9" spans="1:16" thickBot="1" x14ac:dyDescent="0.2">
      <c r="A9" s="103"/>
      <c r="B9" s="96"/>
      <c r="C9" s="97"/>
      <c r="D9" s="98"/>
      <c r="E9" s="105"/>
      <c r="F9" s="12" t="s">
        <v>45</v>
      </c>
      <c r="G9" s="13" t="s">
        <v>44</v>
      </c>
      <c r="H9" s="13"/>
      <c r="I9" s="13" t="s">
        <v>43</v>
      </c>
      <c r="J9" s="13" t="s">
        <v>42</v>
      </c>
      <c r="K9" s="13"/>
      <c r="L9" s="13" t="s">
        <v>41</v>
      </c>
      <c r="M9" s="13"/>
      <c r="N9" s="13"/>
      <c r="O9" s="13"/>
      <c r="P9" s="14"/>
    </row>
    <row r="10" spans="1:16" ht="15" x14ac:dyDescent="0.15">
      <c r="A10" s="102">
        <v>3</v>
      </c>
      <c r="B10" s="99" t="s">
        <v>34</v>
      </c>
      <c r="C10" s="97"/>
      <c r="D10" s="98"/>
      <c r="E10" s="104">
        <f>LEN(B10)</f>
        <v>9</v>
      </c>
      <c r="F10" s="9" t="str">
        <f>MID(B10,1,1)</f>
        <v>沈</v>
      </c>
      <c r="G10" s="10" t="str">
        <f>MID(B10,2,1)</f>
        <v>黙</v>
      </c>
      <c r="H10" s="10" t="str">
        <f>MID(B10,3,1)</f>
        <v>し</v>
      </c>
      <c r="I10" s="10" t="str">
        <f>MID(B10,4,1)</f>
        <v>て</v>
      </c>
      <c r="J10" s="10" t="str">
        <f>MID(B10,5,1)</f>
        <v>深</v>
      </c>
      <c r="K10" s="10" t="str">
        <f>MID(B10,6,1)</f>
        <v>く</v>
      </c>
      <c r="L10" s="10" t="str">
        <f>MID(B10,7,1)</f>
        <v>考</v>
      </c>
      <c r="M10" s="10" t="str">
        <f>MID(B10,8,1)</f>
        <v>え</v>
      </c>
      <c r="N10" s="10" t="str">
        <f>MID(B10,9,1)</f>
        <v>る</v>
      </c>
      <c r="O10" s="10" t="str">
        <f>MID(B10,10,1)</f>
        <v/>
      </c>
      <c r="P10" s="11" t="str">
        <f>MID(B10,11,1)</f>
        <v/>
      </c>
    </row>
    <row r="11" spans="1:16" thickBot="1" x14ac:dyDescent="0.2">
      <c r="A11" s="103"/>
      <c r="B11" s="96"/>
      <c r="C11" s="97"/>
      <c r="D11" s="98"/>
      <c r="E11" s="105"/>
      <c r="F11" s="12" t="s">
        <v>46</v>
      </c>
      <c r="G11" s="13" t="s">
        <v>47</v>
      </c>
      <c r="H11" s="13"/>
      <c r="I11" s="13"/>
      <c r="J11" s="13" t="s">
        <v>48</v>
      </c>
      <c r="K11" s="13"/>
      <c r="L11" s="13" t="s">
        <v>49</v>
      </c>
      <c r="M11" s="13"/>
      <c r="N11" s="13"/>
      <c r="O11" s="13"/>
      <c r="P11" s="14"/>
    </row>
    <row r="12" spans="1:16" ht="15" x14ac:dyDescent="0.15">
      <c r="A12" s="102">
        <v>4</v>
      </c>
      <c r="B12" s="99" t="s">
        <v>33</v>
      </c>
      <c r="C12" s="97"/>
      <c r="D12" s="98"/>
      <c r="E12" s="104">
        <f>LEN(B12)</f>
        <v>11</v>
      </c>
      <c r="F12" s="9" t="str">
        <f>MID(B12,1,1)</f>
        <v>テ</v>
      </c>
      <c r="G12" s="10" t="str">
        <f>MID(B12,2,1)</f>
        <v>ン</v>
      </c>
      <c r="H12" s="10" t="str">
        <f>MID(B12,3,1)</f>
        <v>ト</v>
      </c>
      <c r="I12" s="10" t="str">
        <f>MID(B12,4,1)</f>
        <v>の</v>
      </c>
      <c r="J12" s="10" t="str">
        <f>MID(B12,5,1)</f>
        <v>陰</v>
      </c>
      <c r="K12" s="10" t="str">
        <f>MID(B12,6,1)</f>
        <v>で</v>
      </c>
      <c r="L12" s="10" t="str">
        <f>MID(B12,7,1)</f>
        <v>出</v>
      </c>
      <c r="M12" s="10" t="str">
        <f>MID(B12,8,1)</f>
        <v>番</v>
      </c>
      <c r="N12" s="10" t="str">
        <f>MID(B12,9,1)</f>
        <v>を</v>
      </c>
      <c r="O12" s="10" t="str">
        <f>MID(B12,10,1)</f>
        <v>待</v>
      </c>
      <c r="P12" s="11" t="str">
        <f>MID(B12,11,1)</f>
        <v>つ</v>
      </c>
    </row>
    <row r="13" spans="1:16" thickBot="1" x14ac:dyDescent="0.2">
      <c r="A13" s="103"/>
      <c r="B13" s="96"/>
      <c r="C13" s="97"/>
      <c r="D13" s="98"/>
      <c r="E13" s="105"/>
      <c r="F13" s="12"/>
      <c r="G13" s="13"/>
      <c r="H13" s="13"/>
      <c r="I13" s="13"/>
      <c r="J13" s="13" t="s">
        <v>53</v>
      </c>
      <c r="K13" s="13"/>
      <c r="L13" s="13" t="s">
        <v>52</v>
      </c>
      <c r="M13" s="13" t="s">
        <v>51</v>
      </c>
      <c r="N13" s="13"/>
      <c r="O13" s="13" t="s">
        <v>50</v>
      </c>
      <c r="P13" s="14"/>
    </row>
    <row r="14" spans="1:16" ht="15" x14ac:dyDescent="0.15">
      <c r="A14" s="102">
        <v>5</v>
      </c>
      <c r="B14" s="99" t="s">
        <v>30</v>
      </c>
      <c r="C14" s="97"/>
      <c r="D14" s="98"/>
      <c r="E14" s="104">
        <f>LEN(B14)</f>
        <v>11</v>
      </c>
      <c r="F14" s="9" t="str">
        <f>MID(B14,1,1)</f>
        <v>観</v>
      </c>
      <c r="G14" s="10" t="str">
        <f>MID(B14,2,1)</f>
        <v>客</v>
      </c>
      <c r="H14" s="10" t="str">
        <f>MID(B14,3,1)</f>
        <v>の</v>
      </c>
      <c r="I14" s="10" t="str">
        <f>MID(B14,4,1)</f>
        <v>割</v>
      </c>
      <c r="J14" s="10" t="str">
        <f>MID(B14,5,1)</f>
        <v>れ</v>
      </c>
      <c r="K14" s="10" t="str">
        <f>MID(B14,6,1)</f>
        <v>る</v>
      </c>
      <c r="L14" s="10" t="str">
        <f>MID(B14,7,1)</f>
        <v>よ</v>
      </c>
      <c r="M14" s="10" t="str">
        <f>MID(B14,8,1)</f>
        <v>う</v>
      </c>
      <c r="N14" s="10" t="str">
        <f>MID(B14,9,1)</f>
        <v>な</v>
      </c>
      <c r="O14" s="10" t="str">
        <f>MID(B14,10,1)</f>
        <v>拍</v>
      </c>
      <c r="P14" s="11" t="str">
        <f>MID(B14,11,1)</f>
        <v>手</v>
      </c>
    </row>
    <row r="15" spans="1:16" thickBot="1" x14ac:dyDescent="0.2">
      <c r="A15" s="103"/>
      <c r="B15" s="96"/>
      <c r="C15" s="97"/>
      <c r="D15" s="98"/>
      <c r="E15" s="105"/>
      <c r="F15" s="12" t="s">
        <v>54</v>
      </c>
      <c r="G15" s="13" t="s">
        <v>55</v>
      </c>
      <c r="H15" s="13"/>
      <c r="I15" s="13" t="s">
        <v>56</v>
      </c>
      <c r="J15" s="13"/>
      <c r="K15" s="13"/>
      <c r="L15" s="13"/>
      <c r="M15" s="13"/>
      <c r="N15" s="13"/>
      <c r="O15" s="13" t="s">
        <v>57</v>
      </c>
      <c r="P15" s="14" t="s">
        <v>58</v>
      </c>
    </row>
    <row r="16" spans="1:16" ht="15" x14ac:dyDescent="0.15">
      <c r="A16" s="102">
        <v>6</v>
      </c>
      <c r="B16" s="99" t="s">
        <v>35</v>
      </c>
      <c r="C16" s="97"/>
      <c r="D16" s="98"/>
      <c r="E16" s="104">
        <f>LEN(B16)</f>
        <v>7</v>
      </c>
      <c r="F16" s="9" t="str">
        <f>MID(B16,1,1)</f>
        <v>魚</v>
      </c>
      <c r="G16" s="10" t="str">
        <f>MID(B16,2,1)</f>
        <v>を</v>
      </c>
      <c r="H16" s="10" t="str">
        <f>MID(B16,3,1)</f>
        <v>網</v>
      </c>
      <c r="I16" s="10" t="str">
        <f>MID(B16,4,1)</f>
        <v>で</v>
      </c>
      <c r="J16" s="10" t="str">
        <f>MID(B16,5,1)</f>
        <v>す</v>
      </c>
      <c r="K16" s="10" t="str">
        <f>MID(B16,6,1)</f>
        <v>く</v>
      </c>
      <c r="L16" s="10" t="str">
        <f>MID(B16,7,1)</f>
        <v>う</v>
      </c>
      <c r="M16" s="10" t="str">
        <f>MID(B16,8,1)</f>
        <v/>
      </c>
      <c r="N16" s="10" t="str">
        <f>MID(B16,9,1)</f>
        <v/>
      </c>
      <c r="O16" s="10" t="str">
        <f>MID(B16,10,1)</f>
        <v/>
      </c>
      <c r="P16" s="11" t="str">
        <f>MID(B16,11,1)</f>
        <v/>
      </c>
    </row>
    <row r="17" spans="1:16" thickBot="1" x14ac:dyDescent="0.2">
      <c r="A17" s="103"/>
      <c r="B17" s="96"/>
      <c r="C17" s="97"/>
      <c r="D17" s="98"/>
      <c r="E17" s="105"/>
      <c r="F17" s="12" t="s">
        <v>60</v>
      </c>
      <c r="G17" s="13"/>
      <c r="H17" s="13" t="s">
        <v>59</v>
      </c>
      <c r="I17" s="13"/>
      <c r="J17" s="13"/>
      <c r="K17" s="13"/>
      <c r="L17" s="13"/>
      <c r="M17" s="13"/>
      <c r="N17" s="13"/>
      <c r="O17" s="13"/>
      <c r="P17" s="14"/>
    </row>
    <row r="18" spans="1:16" ht="15" x14ac:dyDescent="0.15">
      <c r="A18" s="102">
        <v>7</v>
      </c>
      <c r="B18" s="99" t="s">
        <v>36</v>
      </c>
      <c r="C18" s="97"/>
      <c r="D18" s="98"/>
      <c r="E18" s="104">
        <f>LEN(B18)</f>
        <v>7</v>
      </c>
      <c r="F18" s="9" t="str">
        <f>MID(B18,1,1)</f>
        <v>一</v>
      </c>
      <c r="G18" s="10" t="str">
        <f>MID(B18,2,1)</f>
        <v>斉</v>
      </c>
      <c r="H18" s="10" t="str">
        <f>MID(B18,3,1)</f>
        <v>に</v>
      </c>
      <c r="I18" s="10" t="str">
        <f>MID(B18,4,1)</f>
        <v>笛</v>
      </c>
      <c r="J18" s="10" t="str">
        <f>MID(B18,5,1)</f>
        <v>を</v>
      </c>
      <c r="K18" s="10" t="str">
        <f>MID(B18,6,1)</f>
        <v>吹</v>
      </c>
      <c r="L18" s="10" t="str">
        <f>MID(B18,7,1)</f>
        <v>く</v>
      </c>
      <c r="M18" s="10" t="str">
        <f>MID(B18,8,1)</f>
        <v/>
      </c>
      <c r="N18" s="10" t="str">
        <f>MID(B18,9,1)</f>
        <v/>
      </c>
      <c r="O18" s="10" t="str">
        <f>MID(B18,10,1)</f>
        <v/>
      </c>
      <c r="P18" s="11" t="str">
        <f>MID(B18,11,1)</f>
        <v/>
      </c>
    </row>
    <row r="19" spans="1:16" thickBot="1" x14ac:dyDescent="0.2">
      <c r="A19" s="103"/>
      <c r="B19" s="96"/>
      <c r="C19" s="97"/>
      <c r="D19" s="98"/>
      <c r="E19" s="105"/>
      <c r="F19" s="12" t="s">
        <v>61</v>
      </c>
      <c r="G19" s="13" t="s">
        <v>62</v>
      </c>
      <c r="H19" s="13"/>
      <c r="I19" s="13" t="s">
        <v>63</v>
      </c>
      <c r="J19" s="13"/>
      <c r="K19" s="13" t="s">
        <v>64</v>
      </c>
      <c r="L19" s="13"/>
      <c r="M19" s="13"/>
      <c r="N19" s="13"/>
      <c r="O19" s="13"/>
      <c r="P19" s="14"/>
    </row>
    <row r="20" spans="1:16" ht="15" x14ac:dyDescent="0.15">
      <c r="A20" s="102">
        <v>8</v>
      </c>
      <c r="B20" s="99" t="s">
        <v>37</v>
      </c>
      <c r="C20" s="97"/>
      <c r="D20" s="98"/>
      <c r="E20" s="104">
        <f>LEN(B20)</f>
        <v>10</v>
      </c>
      <c r="F20" s="9" t="str">
        <f>MID(B20,1,1)</f>
        <v>静</v>
      </c>
      <c r="G20" s="10" t="str">
        <f>MID(B20,2,1)</f>
        <v>寂</v>
      </c>
      <c r="H20" s="10" t="str">
        <f>MID(B20,3,1)</f>
        <v>の</v>
      </c>
      <c r="I20" s="10" t="str">
        <f>MID(B20,4,1)</f>
        <v>中</v>
      </c>
      <c r="J20" s="10" t="str">
        <f>MID(B20,5,1)</f>
        <v>で</v>
      </c>
      <c r="K20" s="10" t="str">
        <f>MID(B20,6,1)</f>
        <v>耳</v>
      </c>
      <c r="L20" s="10" t="str">
        <f>MID(B20,7,1)</f>
        <v>を</v>
      </c>
      <c r="M20" s="10" t="str">
        <f>MID(B20,8,1)</f>
        <v>澄</v>
      </c>
      <c r="N20" s="10" t="str">
        <f>MID(B20,9,1)</f>
        <v>ま</v>
      </c>
      <c r="O20" s="10" t="str">
        <f>MID(B20,10,1)</f>
        <v>す</v>
      </c>
      <c r="P20" s="11" t="str">
        <f>MID(B20,11,1)</f>
        <v/>
      </c>
    </row>
    <row r="21" spans="1:16" thickBot="1" x14ac:dyDescent="0.2">
      <c r="A21" s="103"/>
      <c r="B21" s="96"/>
      <c r="C21" s="97"/>
      <c r="D21" s="98"/>
      <c r="E21" s="105"/>
      <c r="F21" s="12" t="s">
        <v>69</v>
      </c>
      <c r="G21" s="13" t="s">
        <v>68</v>
      </c>
      <c r="H21" s="13"/>
      <c r="I21" s="13" t="s">
        <v>67</v>
      </c>
      <c r="J21" s="13"/>
      <c r="K21" s="13" t="s">
        <v>66</v>
      </c>
      <c r="L21" s="13"/>
      <c r="M21" s="13" t="s">
        <v>65</v>
      </c>
      <c r="N21" s="13"/>
      <c r="O21" s="13"/>
      <c r="P21" s="14"/>
    </row>
    <row r="23" spans="1:16" ht="24" x14ac:dyDescent="0.15">
      <c r="A23" s="1">
        <f ca="1">RAND()</f>
        <v>0.38083174029503519</v>
      </c>
      <c r="B23" s="15">
        <f ca="1">RANK(A23,$A$23:$A$30,0)</f>
        <v>6</v>
      </c>
      <c r="C23" s="18" t="s">
        <v>85</v>
      </c>
      <c r="L23" s="18"/>
    </row>
    <row r="24" spans="1:16" ht="24" x14ac:dyDescent="0.15">
      <c r="A24" s="1">
        <f t="shared" ref="A24:A30" ca="1" si="0">RAND()</f>
        <v>0.61125286726525607</v>
      </c>
      <c r="B24" s="15">
        <f t="shared" ref="B24:B30" ca="1" si="1">RANK(A24,$A$23:$A$30,0)</f>
        <v>3</v>
      </c>
      <c r="C24" s="18" t="s">
        <v>86</v>
      </c>
      <c r="L24" s="18"/>
    </row>
    <row r="25" spans="1:16" ht="24" x14ac:dyDescent="0.15">
      <c r="A25" s="1">
        <f t="shared" ca="1" si="0"/>
        <v>0.29236414844246372</v>
      </c>
      <c r="B25" s="15">
        <f t="shared" ca="1" si="1"/>
        <v>7</v>
      </c>
      <c r="C25" s="18" t="s">
        <v>87</v>
      </c>
      <c r="L25" s="18"/>
    </row>
    <row r="26" spans="1:16" ht="24" x14ac:dyDescent="0.15">
      <c r="A26" s="1">
        <f t="shared" ca="1" si="0"/>
        <v>0.43923600775316818</v>
      </c>
      <c r="B26" s="15">
        <f t="shared" ca="1" si="1"/>
        <v>4</v>
      </c>
      <c r="C26" s="18" t="s">
        <v>88</v>
      </c>
      <c r="L26" s="18"/>
    </row>
    <row r="27" spans="1:16" ht="24" x14ac:dyDescent="0.15">
      <c r="A27" s="1">
        <f t="shared" ca="1" si="0"/>
        <v>0.20454975026027111</v>
      </c>
      <c r="B27" s="15">
        <f t="shared" ca="1" si="1"/>
        <v>8</v>
      </c>
      <c r="C27" s="18" t="s">
        <v>89</v>
      </c>
      <c r="L27" s="18"/>
    </row>
    <row r="28" spans="1:16" ht="24" x14ac:dyDescent="0.15">
      <c r="A28" s="1">
        <f t="shared" ca="1" si="0"/>
        <v>0.3873572054751464</v>
      </c>
      <c r="B28" s="15">
        <f t="shared" ca="1" si="1"/>
        <v>5</v>
      </c>
      <c r="C28" s="18" t="s">
        <v>90</v>
      </c>
      <c r="L28" s="18"/>
    </row>
    <row r="29" spans="1:16" ht="24" x14ac:dyDescent="0.15">
      <c r="A29" s="1">
        <f t="shared" ca="1" si="0"/>
        <v>0.63334164153081096</v>
      </c>
      <c r="B29" s="15">
        <f t="shared" ca="1" si="1"/>
        <v>2</v>
      </c>
      <c r="C29" s="18" t="s">
        <v>91</v>
      </c>
      <c r="L29" s="18"/>
    </row>
    <row r="30" spans="1:16" ht="24" x14ac:dyDescent="0.15">
      <c r="A30" s="1">
        <f t="shared" ca="1" si="0"/>
        <v>0.7574208062468043</v>
      </c>
      <c r="B30" s="15">
        <f t="shared" ca="1" si="1"/>
        <v>1</v>
      </c>
      <c r="C30" s="18" t="s">
        <v>92</v>
      </c>
      <c r="L30" s="18"/>
    </row>
    <row r="35" spans="17:41" x14ac:dyDescent="0.15">
      <c r="Q35" s="1">
        <f ca="1">RAND()</f>
        <v>0.50903026994732259</v>
      </c>
      <c r="R35" s="1">
        <f ca="1">IF(印刷シート!$ED$2="する",RANK(Q35,$Q$35:$Q$42,0),1)</f>
        <v>3</v>
      </c>
      <c r="S35" s="15" t="str">
        <f>B2</f>
        <v>隅</v>
      </c>
      <c r="T35" s="1" t="str">
        <f t="shared" ref="T35:AD35" si="2">IF(F7="","",F7)</f>
        <v>だれ</v>
      </c>
      <c r="U35" s="1" t="str">
        <f t="shared" si="2"/>
        <v/>
      </c>
      <c r="V35" s="1" t="str">
        <f t="shared" si="2"/>
        <v>ほか</v>
      </c>
      <c r="W35" s="1" t="str">
        <f t="shared" si="2"/>
        <v/>
      </c>
      <c r="X35" s="1" t="str">
        <f t="shared" si="2"/>
        <v>ひと</v>
      </c>
      <c r="Y35" s="1" t="str">
        <f t="shared" si="2"/>
        <v/>
      </c>
      <c r="Z35" s="1" t="str">
        <f t="shared" si="2"/>
        <v>はじ</v>
      </c>
      <c r="AA35" s="1" t="str">
        <f t="shared" si="2"/>
        <v/>
      </c>
      <c r="AB35" s="1" t="str">
        <f t="shared" si="2"/>
        <v/>
      </c>
      <c r="AC35" s="1" t="str">
        <f t="shared" si="2"/>
        <v/>
      </c>
      <c r="AD35" s="1" t="str">
        <f t="shared" si="2"/>
        <v/>
      </c>
      <c r="AE35" s="1" t="str">
        <f t="shared" ref="AE35:AO35" si="3">IF(F6="","",F6)</f>
        <v>誰</v>
      </c>
      <c r="AF35" s="1" t="str">
        <f t="shared" si="3"/>
        <v>か</v>
      </c>
      <c r="AG35" s="1" t="str">
        <f t="shared" si="3"/>
        <v>他</v>
      </c>
      <c r="AH35" s="1" t="str">
        <f t="shared" si="3"/>
        <v>の</v>
      </c>
      <c r="AI35" s="1" t="str">
        <f t="shared" si="3"/>
        <v>人</v>
      </c>
      <c r="AJ35" s="1" t="str">
        <f t="shared" si="3"/>
        <v>が</v>
      </c>
      <c r="AK35" s="1" t="str">
        <f t="shared" si="3"/>
        <v>始</v>
      </c>
      <c r="AL35" s="1" t="str">
        <f t="shared" si="3"/>
        <v>め</v>
      </c>
      <c r="AM35" s="1" t="str">
        <f t="shared" si="3"/>
        <v>る</v>
      </c>
      <c r="AN35" s="1" t="str">
        <f t="shared" si="3"/>
        <v/>
      </c>
      <c r="AO35" s="1" t="str">
        <f t="shared" si="3"/>
        <v/>
      </c>
    </row>
    <row r="36" spans="17:41" x14ac:dyDescent="0.15">
      <c r="Q36" s="1">
        <f t="shared" ref="Q36:Q42" ca="1" si="4">RAND()</f>
        <v>1.5230166617479224E-2</v>
      </c>
      <c r="R36" s="1">
        <f ca="1">IF(印刷シート!$ED$2="する",RANK(Q36,$Q$35:$Q$42,0),2)</f>
        <v>8</v>
      </c>
      <c r="S36" s="15" t="str">
        <f>C2</f>
        <v>澄</v>
      </c>
      <c r="T36" s="1" t="str">
        <f t="shared" ref="T36:AD36" si="5">IF(F9="","",F9)</f>
        <v>ひろ</v>
      </c>
      <c r="U36" s="1" t="str">
        <f t="shared" si="5"/>
        <v>ば</v>
      </c>
      <c r="V36" s="1" t="str">
        <f t="shared" si="5"/>
        <v/>
      </c>
      <c r="W36" s="1" t="str">
        <f t="shared" si="5"/>
        <v>かた</v>
      </c>
      <c r="X36" s="1" t="str">
        <f t="shared" si="5"/>
        <v>すみ</v>
      </c>
      <c r="Y36" s="1" t="str">
        <f t="shared" si="5"/>
        <v/>
      </c>
      <c r="Z36" s="1" t="str">
        <f t="shared" si="5"/>
        <v>すわ</v>
      </c>
      <c r="AA36" s="1" t="str">
        <f t="shared" si="5"/>
        <v/>
      </c>
      <c r="AB36" s="1" t="str">
        <f t="shared" si="5"/>
        <v/>
      </c>
      <c r="AC36" s="1" t="str">
        <f t="shared" si="5"/>
        <v/>
      </c>
      <c r="AD36" s="1" t="str">
        <f t="shared" si="5"/>
        <v/>
      </c>
      <c r="AE36" s="1" t="str">
        <f t="shared" ref="AE36:AO36" si="6">IF(F8="","",F8)</f>
        <v>広</v>
      </c>
      <c r="AF36" s="1" t="str">
        <f t="shared" si="6"/>
        <v>場</v>
      </c>
      <c r="AG36" s="1" t="str">
        <f t="shared" si="6"/>
        <v>の</v>
      </c>
      <c r="AH36" s="1" t="str">
        <f t="shared" si="6"/>
        <v>片</v>
      </c>
      <c r="AI36" s="1" t="str">
        <f t="shared" si="6"/>
        <v>隅</v>
      </c>
      <c r="AJ36" s="1" t="str">
        <f t="shared" si="6"/>
        <v>に</v>
      </c>
      <c r="AK36" s="1" t="str">
        <f t="shared" si="6"/>
        <v>座</v>
      </c>
      <c r="AL36" s="1" t="str">
        <f t="shared" si="6"/>
        <v>る</v>
      </c>
      <c r="AM36" s="1" t="str">
        <f t="shared" si="6"/>
        <v/>
      </c>
      <c r="AN36" s="1" t="str">
        <f t="shared" si="6"/>
        <v/>
      </c>
      <c r="AO36" s="1" t="str">
        <f t="shared" si="6"/>
        <v/>
      </c>
    </row>
    <row r="37" spans="17:41" x14ac:dyDescent="0.15">
      <c r="Q37" s="1">
        <f t="shared" ca="1" si="4"/>
        <v>0.19590014614890283</v>
      </c>
      <c r="R37" s="1">
        <f ca="1">IF(印刷シート!$ED$2="する",RANK(Q37,$Q$35:$Q$42,0),3)</f>
        <v>5</v>
      </c>
      <c r="S37" s="15" t="str">
        <f>D2</f>
        <v>誰</v>
      </c>
      <c r="T37" s="1" t="str">
        <f t="shared" ref="T37:AD37" si="7">IF(F11="","",F11)</f>
        <v>ちん</v>
      </c>
      <c r="U37" s="1" t="str">
        <f t="shared" si="7"/>
        <v>もく</v>
      </c>
      <c r="V37" s="1" t="str">
        <f t="shared" si="7"/>
        <v/>
      </c>
      <c r="W37" s="1" t="str">
        <f t="shared" si="7"/>
        <v/>
      </c>
      <c r="X37" s="1" t="str">
        <f t="shared" si="7"/>
        <v>ふか</v>
      </c>
      <c r="Y37" s="1" t="str">
        <f t="shared" si="7"/>
        <v/>
      </c>
      <c r="Z37" s="1" t="str">
        <f t="shared" si="7"/>
        <v>かんが</v>
      </c>
      <c r="AA37" s="1" t="str">
        <f t="shared" si="7"/>
        <v/>
      </c>
      <c r="AB37" s="1" t="str">
        <f t="shared" si="7"/>
        <v/>
      </c>
      <c r="AC37" s="1" t="str">
        <f t="shared" si="7"/>
        <v/>
      </c>
      <c r="AD37" s="1" t="str">
        <f t="shared" si="7"/>
        <v/>
      </c>
      <c r="AE37" s="1" t="str">
        <f t="shared" ref="AE37:AO37" si="8">IF(F10="","",F10)</f>
        <v>沈</v>
      </c>
      <c r="AF37" s="1" t="str">
        <f t="shared" si="8"/>
        <v>黙</v>
      </c>
      <c r="AG37" s="1" t="str">
        <f t="shared" si="8"/>
        <v>し</v>
      </c>
      <c r="AH37" s="1" t="str">
        <f t="shared" si="8"/>
        <v>て</v>
      </c>
      <c r="AI37" s="1" t="str">
        <f t="shared" si="8"/>
        <v>深</v>
      </c>
      <c r="AJ37" s="1" t="str">
        <f t="shared" si="8"/>
        <v>く</v>
      </c>
      <c r="AK37" s="1" t="str">
        <f t="shared" si="8"/>
        <v>考</v>
      </c>
      <c r="AL37" s="1" t="str">
        <f t="shared" si="8"/>
        <v>え</v>
      </c>
      <c r="AM37" s="1" t="str">
        <f t="shared" si="8"/>
        <v>る</v>
      </c>
      <c r="AN37" s="1" t="str">
        <f t="shared" si="8"/>
        <v/>
      </c>
      <c r="AO37" s="1" t="str">
        <f t="shared" si="8"/>
        <v/>
      </c>
    </row>
    <row r="38" spans="17:41" x14ac:dyDescent="0.15">
      <c r="Q38" s="1">
        <f t="shared" ca="1" si="4"/>
        <v>0.99709294932917869</v>
      </c>
      <c r="R38" s="1">
        <f ca="1">IF(印刷シート!$ED$2="する",RANK(Q38,$Q$35:$Q$42,0),4)</f>
        <v>1</v>
      </c>
      <c r="S38" s="15" t="str">
        <f>E2</f>
        <v>沈</v>
      </c>
      <c r="T38" s="1" t="str">
        <f t="shared" ref="T38:AD38" si="9">IF(F13="","",F13)</f>
        <v/>
      </c>
      <c r="U38" s="1" t="str">
        <f t="shared" si="9"/>
        <v/>
      </c>
      <c r="V38" s="1" t="str">
        <f t="shared" si="9"/>
        <v/>
      </c>
      <c r="W38" s="1" t="str">
        <f t="shared" si="9"/>
        <v/>
      </c>
      <c r="X38" s="1" t="str">
        <f t="shared" si="9"/>
        <v>かげ</v>
      </c>
      <c r="Y38" s="1" t="str">
        <f t="shared" si="9"/>
        <v/>
      </c>
      <c r="Z38" s="1" t="str">
        <f t="shared" si="9"/>
        <v>で</v>
      </c>
      <c r="AA38" s="1" t="str">
        <f t="shared" si="9"/>
        <v>ばん</v>
      </c>
      <c r="AB38" s="1" t="str">
        <f t="shared" si="9"/>
        <v/>
      </c>
      <c r="AC38" s="1" t="str">
        <f t="shared" si="9"/>
        <v>ま</v>
      </c>
      <c r="AD38" s="1" t="str">
        <f t="shared" si="9"/>
        <v/>
      </c>
      <c r="AE38" s="1" t="str">
        <f t="shared" ref="AE38:AO38" si="10">IF(F12="","",F12)</f>
        <v>テ</v>
      </c>
      <c r="AF38" s="1" t="str">
        <f t="shared" si="10"/>
        <v>ン</v>
      </c>
      <c r="AG38" s="1" t="str">
        <f t="shared" si="10"/>
        <v>ト</v>
      </c>
      <c r="AH38" s="1" t="str">
        <f t="shared" si="10"/>
        <v>の</v>
      </c>
      <c r="AI38" s="1" t="str">
        <f t="shared" si="10"/>
        <v>陰</v>
      </c>
      <c r="AJ38" s="1" t="str">
        <f t="shared" si="10"/>
        <v>で</v>
      </c>
      <c r="AK38" s="1" t="str">
        <f t="shared" si="10"/>
        <v>出</v>
      </c>
      <c r="AL38" s="1" t="str">
        <f t="shared" si="10"/>
        <v>番</v>
      </c>
      <c r="AM38" s="1" t="str">
        <f t="shared" si="10"/>
        <v>を</v>
      </c>
      <c r="AN38" s="1" t="str">
        <f t="shared" si="10"/>
        <v>待</v>
      </c>
      <c r="AO38" s="1" t="str">
        <f t="shared" si="10"/>
        <v>つ</v>
      </c>
    </row>
    <row r="39" spans="17:41" x14ac:dyDescent="0.15">
      <c r="Q39" s="1">
        <f t="shared" ca="1" si="4"/>
        <v>0.13923269300222718</v>
      </c>
      <c r="R39" s="1">
        <f ca="1">IF(印刷シート!$ED$2="する",RANK(Q39,$Q$35:$Q$42,0),5)</f>
        <v>7</v>
      </c>
      <c r="S39" s="15" t="str">
        <f>F2</f>
        <v>拍</v>
      </c>
      <c r="T39" s="1" t="str">
        <f t="shared" ref="T39:AD39" si="11">IF(F15="","",F15)</f>
        <v>かん</v>
      </c>
      <c r="U39" s="1" t="str">
        <f t="shared" si="11"/>
        <v>きゃく</v>
      </c>
      <c r="V39" s="1" t="str">
        <f t="shared" si="11"/>
        <v/>
      </c>
      <c r="W39" s="1" t="str">
        <f t="shared" si="11"/>
        <v>わ</v>
      </c>
      <c r="X39" s="1" t="str">
        <f t="shared" si="11"/>
        <v/>
      </c>
      <c r="Y39" s="1" t="str">
        <f t="shared" si="11"/>
        <v/>
      </c>
      <c r="Z39" s="1" t="str">
        <f t="shared" si="11"/>
        <v/>
      </c>
      <c r="AA39" s="1" t="str">
        <f t="shared" si="11"/>
        <v/>
      </c>
      <c r="AB39" s="1" t="str">
        <f t="shared" si="11"/>
        <v/>
      </c>
      <c r="AC39" s="1" t="str">
        <f t="shared" si="11"/>
        <v>はく</v>
      </c>
      <c r="AD39" s="1" t="str">
        <f t="shared" si="11"/>
        <v>しゅ</v>
      </c>
      <c r="AE39" s="1" t="str">
        <f t="shared" ref="AE39:AO39" si="12">IF(F14="","",F14)</f>
        <v>観</v>
      </c>
      <c r="AF39" s="1" t="str">
        <f t="shared" si="12"/>
        <v>客</v>
      </c>
      <c r="AG39" s="1" t="str">
        <f t="shared" si="12"/>
        <v>の</v>
      </c>
      <c r="AH39" s="1" t="str">
        <f t="shared" si="12"/>
        <v>割</v>
      </c>
      <c r="AI39" s="1" t="str">
        <f t="shared" si="12"/>
        <v>れ</v>
      </c>
      <c r="AJ39" s="1" t="str">
        <f t="shared" si="12"/>
        <v>る</v>
      </c>
      <c r="AK39" s="1" t="str">
        <f t="shared" si="12"/>
        <v>よ</v>
      </c>
      <c r="AL39" s="1" t="str">
        <f t="shared" si="12"/>
        <v>う</v>
      </c>
      <c r="AM39" s="1" t="str">
        <f t="shared" si="12"/>
        <v>な</v>
      </c>
      <c r="AN39" s="1" t="str">
        <f t="shared" si="12"/>
        <v>拍</v>
      </c>
      <c r="AO39" s="1" t="str">
        <f t="shared" si="12"/>
        <v>手</v>
      </c>
    </row>
    <row r="40" spans="17:41" x14ac:dyDescent="0.15">
      <c r="Q40" s="1">
        <f t="shared" ca="1" si="4"/>
        <v>0.76874099006411623</v>
      </c>
      <c r="R40" s="1">
        <f ca="1">IF(印刷シート!$ED$2="する",RANK(Q40,$Q$35:$Q$42,0),6)</f>
        <v>2</v>
      </c>
      <c r="S40" s="15" t="str">
        <f>G2</f>
        <v>一</v>
      </c>
      <c r="T40" s="1" t="str">
        <f t="shared" ref="T40:AD40" si="13">IF(F17="","",F17)</f>
        <v>さかな</v>
      </c>
      <c r="U40" s="1" t="str">
        <f t="shared" si="13"/>
        <v/>
      </c>
      <c r="V40" s="1" t="str">
        <f t="shared" si="13"/>
        <v>あみ</v>
      </c>
      <c r="W40" s="1" t="str">
        <f t="shared" si="13"/>
        <v/>
      </c>
      <c r="X40" s="1" t="str">
        <f t="shared" si="13"/>
        <v/>
      </c>
      <c r="Y40" s="1" t="str">
        <f t="shared" si="13"/>
        <v/>
      </c>
      <c r="Z40" s="1" t="str">
        <f t="shared" si="13"/>
        <v/>
      </c>
      <c r="AA40" s="1" t="str">
        <f t="shared" si="13"/>
        <v/>
      </c>
      <c r="AB40" s="1" t="str">
        <f t="shared" si="13"/>
        <v/>
      </c>
      <c r="AC40" s="1" t="str">
        <f t="shared" si="13"/>
        <v/>
      </c>
      <c r="AD40" s="1" t="str">
        <f t="shared" si="13"/>
        <v/>
      </c>
      <c r="AE40" s="1" t="str">
        <f t="shared" ref="AE40:AO40" si="14">IF(F16="","",F16)</f>
        <v>魚</v>
      </c>
      <c r="AF40" s="1" t="str">
        <f t="shared" si="14"/>
        <v>を</v>
      </c>
      <c r="AG40" s="1" t="str">
        <f t="shared" si="14"/>
        <v>網</v>
      </c>
      <c r="AH40" s="1" t="str">
        <f t="shared" si="14"/>
        <v>で</v>
      </c>
      <c r="AI40" s="1" t="str">
        <f t="shared" si="14"/>
        <v>す</v>
      </c>
      <c r="AJ40" s="1" t="str">
        <f t="shared" si="14"/>
        <v>く</v>
      </c>
      <c r="AK40" s="1" t="str">
        <f t="shared" si="14"/>
        <v>う</v>
      </c>
      <c r="AL40" s="1" t="str">
        <f t="shared" si="14"/>
        <v/>
      </c>
      <c r="AM40" s="1" t="str">
        <f t="shared" si="14"/>
        <v/>
      </c>
      <c r="AN40" s="1" t="str">
        <f t="shared" si="14"/>
        <v/>
      </c>
      <c r="AO40" s="1" t="str">
        <f t="shared" si="14"/>
        <v/>
      </c>
    </row>
    <row r="41" spans="17:41" x14ac:dyDescent="0.15">
      <c r="Q41" s="1">
        <f t="shared" ca="1" si="4"/>
        <v>0.26009785794145601</v>
      </c>
      <c r="R41" s="1">
        <f ca="1">IF(印刷シート!$ED$2="する",RANK(Q41,$Q$35:$Q$42,0),7)</f>
        <v>4</v>
      </c>
      <c r="S41" s="15" t="str">
        <f>H2</f>
        <v>網</v>
      </c>
      <c r="T41" s="1" t="str">
        <f t="shared" ref="T41:AD41" si="15">IF(F19="","",F19)</f>
        <v>いっ</v>
      </c>
      <c r="U41" s="1" t="str">
        <f t="shared" si="15"/>
        <v>せい</v>
      </c>
      <c r="V41" s="1" t="str">
        <f t="shared" si="15"/>
        <v/>
      </c>
      <c r="W41" s="1" t="str">
        <f t="shared" si="15"/>
        <v>ふえ</v>
      </c>
      <c r="X41" s="1" t="str">
        <f t="shared" si="15"/>
        <v/>
      </c>
      <c r="Y41" s="1" t="str">
        <f t="shared" si="15"/>
        <v>ふ</v>
      </c>
      <c r="Z41" s="1" t="str">
        <f t="shared" si="15"/>
        <v/>
      </c>
      <c r="AA41" s="1" t="str">
        <f t="shared" si="15"/>
        <v/>
      </c>
      <c r="AB41" s="1" t="str">
        <f t="shared" si="15"/>
        <v/>
      </c>
      <c r="AC41" s="1" t="str">
        <f t="shared" si="15"/>
        <v/>
      </c>
      <c r="AD41" s="1" t="str">
        <f t="shared" si="15"/>
        <v/>
      </c>
      <c r="AE41" s="1" t="str">
        <f t="shared" ref="AE41:AO41" si="16">IF(F18="","",F18)</f>
        <v>一</v>
      </c>
      <c r="AF41" s="1" t="str">
        <f t="shared" si="16"/>
        <v>斉</v>
      </c>
      <c r="AG41" s="1" t="str">
        <f t="shared" si="16"/>
        <v>に</v>
      </c>
      <c r="AH41" s="1" t="str">
        <f t="shared" si="16"/>
        <v>笛</v>
      </c>
      <c r="AI41" s="1" t="str">
        <f t="shared" si="16"/>
        <v>を</v>
      </c>
      <c r="AJ41" s="1" t="str">
        <f t="shared" si="16"/>
        <v>吹</v>
      </c>
      <c r="AK41" s="1" t="str">
        <f t="shared" si="16"/>
        <v>く</v>
      </c>
      <c r="AL41" s="1" t="str">
        <f t="shared" si="16"/>
        <v/>
      </c>
      <c r="AM41" s="1" t="str">
        <f t="shared" si="16"/>
        <v/>
      </c>
      <c r="AN41" s="1" t="str">
        <f t="shared" si="16"/>
        <v/>
      </c>
      <c r="AO41" s="1" t="str">
        <f t="shared" si="16"/>
        <v/>
      </c>
    </row>
    <row r="42" spans="17:41" x14ac:dyDescent="0.15">
      <c r="Q42" s="1">
        <f t="shared" ca="1" si="4"/>
        <v>0.14144837945101529</v>
      </c>
      <c r="R42" s="1">
        <f ca="1">IF(印刷シート!$ED$2="する",RANK(Q42,$Q$35:$Q$42,0),8)</f>
        <v>6</v>
      </c>
      <c r="S42" s="15" t="str">
        <f>I2</f>
        <v>片</v>
      </c>
      <c r="T42" s="1" t="str">
        <f t="shared" ref="T42:AD42" si="17">IF(F21="","",F21)</f>
        <v>せい</v>
      </c>
      <c r="U42" s="1" t="str">
        <f t="shared" si="17"/>
        <v>じゃく</v>
      </c>
      <c r="V42" s="1" t="str">
        <f t="shared" si="17"/>
        <v/>
      </c>
      <c r="W42" s="1" t="str">
        <f t="shared" si="17"/>
        <v>なか</v>
      </c>
      <c r="X42" s="1" t="str">
        <f t="shared" si="17"/>
        <v/>
      </c>
      <c r="Y42" s="1" t="str">
        <f t="shared" si="17"/>
        <v>みみ</v>
      </c>
      <c r="Z42" s="1" t="str">
        <f t="shared" si="17"/>
        <v/>
      </c>
      <c r="AA42" s="1" t="str">
        <f t="shared" si="17"/>
        <v>す</v>
      </c>
      <c r="AB42" s="1" t="str">
        <f t="shared" si="17"/>
        <v/>
      </c>
      <c r="AC42" s="1" t="str">
        <f t="shared" si="17"/>
        <v/>
      </c>
      <c r="AD42" s="1" t="str">
        <f t="shared" si="17"/>
        <v/>
      </c>
      <c r="AE42" s="1" t="str">
        <f t="shared" ref="AE42:AO42" si="18">IF(F20="","",F20)</f>
        <v>静</v>
      </c>
      <c r="AF42" s="1" t="str">
        <f t="shared" si="18"/>
        <v>寂</v>
      </c>
      <c r="AG42" s="1" t="str">
        <f t="shared" si="18"/>
        <v>の</v>
      </c>
      <c r="AH42" s="1" t="str">
        <f t="shared" si="18"/>
        <v>中</v>
      </c>
      <c r="AI42" s="1" t="str">
        <f t="shared" si="18"/>
        <v>で</v>
      </c>
      <c r="AJ42" s="1" t="str">
        <f t="shared" si="18"/>
        <v>耳</v>
      </c>
      <c r="AK42" s="1" t="str">
        <f t="shared" si="18"/>
        <v>を</v>
      </c>
      <c r="AL42" s="1" t="str">
        <f t="shared" si="18"/>
        <v>澄</v>
      </c>
      <c r="AM42" s="1" t="str">
        <f t="shared" si="18"/>
        <v>ま</v>
      </c>
      <c r="AN42" s="1" t="str">
        <f t="shared" si="18"/>
        <v>す</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375" customWidth="1"/>
  </cols>
  <sheetData>
    <row r="1" spans="1:8" ht="63" customHeight="1" x14ac:dyDescent="0.15">
      <c r="A1" t="s">
        <v>15</v>
      </c>
      <c r="B1" t="s">
        <v>16</v>
      </c>
      <c r="C1" s="108"/>
      <c r="D1" s="109"/>
      <c r="E1" s="109"/>
      <c r="F1" s="109"/>
      <c r="G1" s="109"/>
      <c r="H1" s="110"/>
    </row>
    <row r="2" spans="1:8" ht="63" customHeight="1" x14ac:dyDescent="0.15">
      <c r="A2" t="s">
        <v>17</v>
      </c>
      <c r="B2" t="s">
        <v>18</v>
      </c>
      <c r="C2" s="108"/>
      <c r="D2" s="109"/>
      <c r="E2" s="109"/>
      <c r="F2" s="109"/>
      <c r="G2" s="109"/>
      <c r="H2" s="110"/>
    </row>
    <row r="3" spans="1:8" ht="63" customHeight="1" x14ac:dyDescent="0.15">
      <c r="A3" t="s">
        <v>19</v>
      </c>
      <c r="B3" t="s">
        <v>20</v>
      </c>
      <c r="C3" s="108"/>
      <c r="D3" s="109"/>
      <c r="E3" s="109"/>
      <c r="F3" s="109"/>
      <c r="G3" s="109"/>
      <c r="H3" s="110"/>
    </row>
    <row r="4" spans="1:8" ht="63" customHeight="1" x14ac:dyDescent="0.15">
      <c r="A4" t="s">
        <v>21</v>
      </c>
      <c r="B4" t="s">
        <v>22</v>
      </c>
      <c r="C4" s="108"/>
      <c r="D4" s="109"/>
      <c r="E4" s="109"/>
      <c r="F4" s="109"/>
      <c r="G4" s="109"/>
      <c r="H4" s="110"/>
    </row>
    <row r="5" spans="1:8" ht="63" customHeight="1" x14ac:dyDescent="0.15">
      <c r="A5" t="s">
        <v>23</v>
      </c>
      <c r="B5" t="s">
        <v>24</v>
      </c>
      <c r="C5" s="108"/>
      <c r="D5" s="109"/>
      <c r="E5" s="109"/>
      <c r="F5" s="109"/>
      <c r="G5" s="109"/>
      <c r="H5" s="110"/>
    </row>
    <row r="6" spans="1:8" ht="63" customHeight="1" x14ac:dyDescent="0.15">
      <c r="A6" t="s">
        <v>25</v>
      </c>
      <c r="B6" t="s">
        <v>26</v>
      </c>
      <c r="C6" s="108"/>
      <c r="D6" s="109"/>
      <c r="E6" s="109"/>
      <c r="F6" s="109"/>
      <c r="G6" s="109"/>
      <c r="H6" s="110"/>
    </row>
    <row r="7" spans="1:8" ht="63" customHeight="1" x14ac:dyDescent="0.15">
      <c r="A7" t="s">
        <v>27</v>
      </c>
      <c r="B7" t="s">
        <v>28</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2025-08-08T01:00:45Z</cp:lastPrinted>
  <dcterms:created xsi:type="dcterms:W3CDTF">2011-08-04T02:55:31Z</dcterms:created>
  <dcterms:modified xsi:type="dcterms:W3CDTF">2025-08-08T01:01:12Z</dcterms:modified>
  <cp:category/>
  <cp:contentStatus/>
</cp:coreProperties>
</file>