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https://d.docs.live.net/A37CD1931057D558/HP/勉強部屋/souko/mitumura2024/6th-grade/"/>
    </mc:Choice>
  </mc:AlternateContent>
  <xr:revisionPtr revIDLastSave="4" documentId="13_ncr:1_{26ADE635-DFAB-4526-B1BF-ECB63612B803}" xr6:coauthVersionLast="36" xr6:coauthVersionMax="47" xr10:uidLastSave="{776C1A4F-912F-47AC-AD5B-E41105451DCC}"/>
  <bookViews>
    <workbookView xWindow="3120" yWindow="950" windowWidth="25190" windowHeight="1454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<sst xmlns="http://schemas.openxmlformats.org/spreadsheetml/2006/main" count="89" uniqueCount="84">
  <si>
    <t>隠しサイズ</t>
    <rPh sb="0" eb="1">
      <t>カク</t>
    </rPh>
    <phoneticPr fontId="1"/>
  </si>
  <si>
    <t>漢字</t>
    <rPh sb="0" eb="2">
      <t>カンジ</t>
    </rPh>
    <phoneticPr fontId="1"/>
  </si>
  <si>
    <t>ふりがな</t>
    <phoneticPr fontId="1"/>
  </si>
  <si>
    <t>文字色</t>
    <rPh sb="0" eb="3">
      <t>モジイロ</t>
    </rPh>
    <phoneticPr fontId="1"/>
  </si>
  <si>
    <t>並び替え</t>
    <rPh sb="0" eb="1">
      <t>ナラ</t>
    </rPh>
    <rPh sb="2" eb="3">
      <t>カ</t>
    </rPh>
    <phoneticPr fontId="1"/>
  </si>
  <si>
    <t>なし</t>
  </si>
  <si>
    <t>入れない</t>
  </si>
  <si>
    <t>入れる</t>
  </si>
  <si>
    <t>なぞり文字</t>
  </si>
  <si>
    <t>する</t>
  </si>
  <si>
    <t>かんじを　いれよう</t>
    <phoneticPr fontId="1"/>
  </si>
  <si>
    <t>なまえ</t>
    <phoneticPr fontId="1"/>
  </si>
  <si>
    <t>6-1-9</t>
    <phoneticPr fontId="1"/>
  </si>
  <si>
    <t>出題したい漢字（15文字まで）</t>
    <rPh sb="0" eb="2">
      <t>シュツダイ</t>
    </rPh>
    <rPh sb="5" eb="7">
      <t>カンジ</t>
    </rPh>
    <rPh sb="10" eb="12">
      <t>モジ</t>
    </rPh>
    <phoneticPr fontId="1"/>
  </si>
  <si>
    <t>自</t>
    <rPh sb="0" eb="1">
      <t>ジ</t>
    </rPh>
    <phoneticPr fontId="1"/>
  </si>
  <si>
    <t>心</t>
    <rPh sb="0" eb="1">
      <t>ココロ</t>
    </rPh>
    <phoneticPr fontId="1"/>
  </si>
  <si>
    <t>利</t>
    <rPh sb="0" eb="1">
      <t>リ</t>
    </rPh>
    <phoneticPr fontId="1"/>
  </si>
  <si>
    <t>包</t>
    <rPh sb="0" eb="1">
      <t>ツツ</t>
    </rPh>
    <phoneticPr fontId="1"/>
  </si>
  <si>
    <t>改</t>
    <rPh sb="0" eb="1">
      <t>カイ</t>
    </rPh>
    <phoneticPr fontId="1"/>
  </si>
  <si>
    <t>舎</t>
    <rPh sb="0" eb="1">
      <t>シャ</t>
    </rPh>
    <phoneticPr fontId="1"/>
  </si>
  <si>
    <t>正</t>
    <rPh sb="0" eb="1">
      <t>タダ</t>
    </rPh>
    <phoneticPr fontId="1"/>
  </si>
  <si>
    <t>問題文</t>
    <rPh sb="0" eb="3">
      <t>モンダイブン</t>
    </rPh>
    <phoneticPr fontId="1"/>
  </si>
  <si>
    <t>文字数</t>
    <rPh sb="0" eb="3">
      <t>モジスウ</t>
    </rPh>
    <phoneticPr fontId="1"/>
  </si>
  <si>
    <t>正座して聞く</t>
    <rPh sb="0" eb="2">
      <t>セイザ</t>
    </rPh>
    <rPh sb="4" eb="5">
      <t>キ</t>
    </rPh>
    <phoneticPr fontId="1"/>
  </si>
  <si>
    <t>せい</t>
    <phoneticPr fontId="1"/>
  </si>
  <si>
    <t>ざ</t>
    <phoneticPr fontId="1"/>
  </si>
  <si>
    <t>き</t>
    <phoneticPr fontId="1"/>
  </si>
  <si>
    <t>幼いころの写真</t>
    <rPh sb="0" eb="1">
      <t>オサナ</t>
    </rPh>
    <rPh sb="5" eb="7">
      <t>シャシン</t>
    </rPh>
    <phoneticPr fontId="1"/>
  </si>
  <si>
    <t>おさな</t>
    <phoneticPr fontId="1"/>
  </si>
  <si>
    <t>しゃ</t>
    <phoneticPr fontId="1"/>
  </si>
  <si>
    <t>しん</t>
    <phoneticPr fontId="1"/>
  </si>
  <si>
    <t>本の著者に会う</t>
    <rPh sb="0" eb="1">
      <t>ホン</t>
    </rPh>
    <rPh sb="2" eb="4">
      <t>チョシャ</t>
    </rPh>
    <rPh sb="5" eb="6">
      <t>ア</t>
    </rPh>
    <phoneticPr fontId="1"/>
  </si>
  <si>
    <t>ほん</t>
    <phoneticPr fontId="1"/>
  </si>
  <si>
    <t>ちょ</t>
    <phoneticPr fontId="1"/>
  </si>
  <si>
    <t>あ</t>
    <phoneticPr fontId="1"/>
  </si>
  <si>
    <t>権利を主張する</t>
    <rPh sb="0" eb="2">
      <t>ケンリ</t>
    </rPh>
    <rPh sb="3" eb="5">
      <t>シュチョウ</t>
    </rPh>
    <phoneticPr fontId="1"/>
  </si>
  <si>
    <t>けん</t>
    <phoneticPr fontId="1"/>
  </si>
  <si>
    <t>り</t>
    <phoneticPr fontId="1"/>
  </si>
  <si>
    <t>しゅ</t>
    <phoneticPr fontId="1"/>
  </si>
  <si>
    <t>ちょう</t>
    <phoneticPr fontId="1"/>
  </si>
  <si>
    <t>自尊心を高める</t>
    <rPh sb="0" eb="3">
      <t>ジソンシン</t>
    </rPh>
    <rPh sb="4" eb="5">
      <t>タカ</t>
    </rPh>
    <phoneticPr fontId="1"/>
  </si>
  <si>
    <t>じ</t>
    <phoneticPr fontId="1"/>
  </si>
  <si>
    <t>そん</t>
    <phoneticPr fontId="1"/>
  </si>
  <si>
    <t>たか</t>
    <phoneticPr fontId="1"/>
  </si>
  <si>
    <t>尊い教え</t>
    <rPh sb="0" eb="1">
      <t>タット</t>
    </rPh>
    <rPh sb="2" eb="3">
      <t>オシ</t>
    </rPh>
    <phoneticPr fontId="1"/>
  </si>
  <si>
    <t>たっと</t>
    <phoneticPr fontId="1"/>
  </si>
  <si>
    <t>おし</t>
    <phoneticPr fontId="1"/>
  </si>
  <si>
    <t>市の庁舎</t>
    <rPh sb="0" eb="1">
      <t>シ</t>
    </rPh>
    <rPh sb="2" eb="4">
      <t>チョウシャ</t>
    </rPh>
    <phoneticPr fontId="1"/>
  </si>
  <si>
    <t>し</t>
    <phoneticPr fontId="1"/>
  </si>
  <si>
    <t>ちょう</t>
  </si>
  <si>
    <t>建物を改装する</t>
    <rPh sb="0" eb="2">
      <t>タテモノ</t>
    </rPh>
    <rPh sb="3" eb="5">
      <t>カイソウ</t>
    </rPh>
    <phoneticPr fontId="1"/>
  </si>
  <si>
    <t>たて</t>
    <phoneticPr fontId="1"/>
  </si>
  <si>
    <t>もの</t>
    <phoneticPr fontId="1"/>
  </si>
  <si>
    <t>かい</t>
    <phoneticPr fontId="1"/>
  </si>
  <si>
    <t>そう</t>
    <phoneticPr fontId="1"/>
  </si>
  <si>
    <t>書類を届ける</t>
    <rPh sb="0" eb="2">
      <t>ショルイ</t>
    </rPh>
    <rPh sb="3" eb="4">
      <t>トド</t>
    </rPh>
    <phoneticPr fontId="1"/>
  </si>
  <si>
    <t>しょ</t>
    <phoneticPr fontId="1"/>
  </si>
  <si>
    <t>るい</t>
    <phoneticPr fontId="1"/>
  </si>
  <si>
    <t>とど</t>
    <phoneticPr fontId="1"/>
  </si>
  <si>
    <t>白い包装紙</t>
    <rPh sb="0" eb="1">
      <t>シロ</t>
    </rPh>
    <rPh sb="2" eb="5">
      <t>ホウソウシ</t>
    </rPh>
    <phoneticPr fontId="1"/>
  </si>
  <si>
    <t>しろ</t>
    <phoneticPr fontId="1"/>
  </si>
  <si>
    <t>ほう</t>
    <phoneticPr fontId="1"/>
  </si>
  <si>
    <t>座</t>
    <rPh sb="0" eb="1">
      <t>ザ</t>
    </rPh>
    <phoneticPr fontId="17"/>
  </si>
  <si>
    <t>幼</t>
    <rPh sb="0" eb="1">
      <t>オサナ</t>
    </rPh>
    <phoneticPr fontId="17"/>
  </si>
  <si>
    <t>著</t>
    <rPh sb="0" eb="1">
      <t>チョ</t>
    </rPh>
    <phoneticPr fontId="17"/>
  </si>
  <si>
    <t>権</t>
    <rPh sb="0" eb="1">
      <t>ケン</t>
    </rPh>
    <phoneticPr fontId="17"/>
  </si>
  <si>
    <t>尊</t>
    <rPh sb="0" eb="1">
      <t>タケル</t>
    </rPh>
    <phoneticPr fontId="17"/>
  </si>
  <si>
    <t>庁</t>
    <rPh sb="0" eb="1">
      <t>チョウ</t>
    </rPh>
    <phoneticPr fontId="17"/>
  </si>
  <si>
    <t>装</t>
    <rPh sb="0" eb="1">
      <t>ソウ</t>
    </rPh>
    <phoneticPr fontId="17"/>
  </si>
  <si>
    <t>届</t>
    <rPh sb="0" eb="1">
      <t>トド</t>
    </rPh>
    <phoneticPr fontId="17"/>
  </si>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</sst>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4">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6" fillId="0" borderId="0" xfId="0" applyFont="1">
      <alignment vertical="center"/>
    </xf>
    <xf numFmtId="0" fontId="15" fillId="0" borderId="0" xfId="0" applyFont="1">
      <alignment vertical="center"/>
    </xf>
    <xf numFmtId="0" fontId="16"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Alignme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pplyAlignment="1">
      <alignment vertical="center"/>
    </xf>
    <xf numFmtId="0" fontId="12" fillId="0" borderId="40" xfId="0" applyFont="1" applyBorder="1" applyAlignment="1">
      <alignment horizontal="center" vertical="center"/>
    </xf>
    <xf numFmtId="0" fontId="3" fillId="0" borderId="13" xfId="0" applyFont="1" applyBorder="1" applyAlignment="1">
      <alignment vertical="center"/>
    </xf>
    <xf numFmtId="0" fontId="0" fillId="0" borderId="19" xfId="0" applyBorder="1" applyAlignment="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lignment vertical="center"/>
    </xf>
    <xf numFmtId="0" fontId="0" fillId="0" borderId="21" xfId="0" applyBorder="1" applyAlignment="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959"/>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6</xdr:col>
          <xdr:colOff>732</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960"/>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961"/>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732</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962"/>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732</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963"/>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101695</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964"/>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101387</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965"/>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966"/>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967"/>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968"/>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969"/>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970"/>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732</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971"/>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972"/>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973"/>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8974"/>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8975"/>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8976"/>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24</xdr:col>
          <xdr:colOff>0</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8977"/>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24</xdr:col>
          <xdr:colOff>0</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8978"/>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36</xdr:col>
          <xdr:colOff>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8979"/>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36</xdr:col>
          <xdr:colOff>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8980"/>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8981"/>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8982"/>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8983"/>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8984"/>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8985"/>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78</xdr:col>
          <xdr:colOff>0</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8986"/>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8987"/>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3</xdr:row>
          <xdr:rowOff>0</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8988"/>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8</xdr:col>
      <xdr:colOff>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4.5" x14ac:dyDescent="0.2"/>
  <cols>
    <col min="1" max="5" width="1.7265625" style="1" customWidth="1"/>
    <col min="6" max="9" width="1.54296875" style="1" customWidth="1"/>
    <col min="10" max="14" width="1.7265625" style="1" customWidth="1"/>
    <col min="15" max="18" width="1.54296875" style="1" customWidth="1"/>
    <col min="19" max="23" width="1.7265625" style="1" customWidth="1"/>
    <col min="24" max="27" width="1.54296875" style="1" customWidth="1"/>
    <col min="28" max="32" width="1.7265625" style="1" customWidth="1"/>
    <col min="33" max="36" width="1.54296875" style="1" customWidth="1"/>
    <col min="37" max="41" width="1.7265625" style="1" customWidth="1"/>
    <col min="42" max="45" width="1.54296875" style="1" customWidth="1"/>
    <col min="46" max="50" width="1.7265625" style="1" customWidth="1"/>
    <col min="51" max="54" width="1.54296875" style="1" customWidth="1"/>
    <col min="55" max="59" width="1.7265625" style="1" customWidth="1"/>
    <col min="60" max="63" width="1.54296875" style="1" customWidth="1"/>
    <col min="64" max="68" width="1.7265625" style="1" customWidth="1"/>
    <col min="69" max="72" width="1.54296875" style="1" customWidth="1"/>
    <col min="73" max="77" width="1.7265625" style="1" customWidth="1"/>
    <col min="78" max="81" width="1.54296875" style="1" customWidth="1"/>
    <col min="82" max="86" width="1.7265625" style="1" customWidth="1"/>
    <col min="87" max="90" width="1.54296875" style="1" customWidth="1"/>
    <col min="91" max="189" width="1.7265625" style="1" customWidth="1"/>
    <col min="190" max="16384" width="9" style="1"/>
  </cols>
  <sheetData>
    <row r="1" spans="1:179" ht="46.5" x14ac:dyDescent="0.2">
      <c r="A1" s="48" t="s">
        <v>0</v>
      </c>
      <c r="B1" s="32"/>
      <c r="C1" s="32"/>
      <c r="D1" s="32"/>
      <c r="E1" s="32"/>
      <c r="F1" s="32"/>
      <c r="G1" s="32"/>
      <c r="H1" s="32"/>
      <c r="I1" s="32"/>
      <c r="J1" s="32"/>
      <c r="K1" s="33"/>
      <c r="L1" s="33"/>
      <c r="M1" s="33"/>
      <c r="N1" s="31" t="s">
        <v>1</v>
      </c>
      <c r="O1" s="32"/>
      <c r="P1" s="32"/>
      <c r="Q1" s="32"/>
      <c r="R1" s="32"/>
      <c r="S1" s="32"/>
      <c r="T1" s="32"/>
      <c r="U1" s="32"/>
      <c r="V1" s="32"/>
      <c r="W1" s="32"/>
      <c r="X1" s="33"/>
      <c r="Y1" s="33"/>
      <c r="Z1" s="33"/>
      <c r="AA1" s="31" t="s">
        <v>2</v>
      </c>
      <c r="AB1" s="32"/>
      <c r="AC1" s="32"/>
      <c r="AD1" s="32"/>
      <c r="AE1" s="32"/>
      <c r="AF1" s="32"/>
      <c r="AG1" s="32"/>
      <c r="AH1" s="32"/>
      <c r="AI1" s="32"/>
      <c r="AJ1" s="32"/>
      <c r="AK1" s="33"/>
      <c r="AL1" s="33"/>
      <c r="AM1" s="33"/>
      <c r="AN1" s="31" t="s">
        <v>3</v>
      </c>
      <c r="AO1" s="32"/>
      <c r="AP1" s="32"/>
      <c r="AQ1" s="32"/>
      <c r="AR1" s="32"/>
      <c r="AS1" s="32"/>
      <c r="AT1" s="32"/>
      <c r="AU1" s="32"/>
      <c r="AV1" s="32"/>
      <c r="AW1" s="32"/>
      <c r="AX1" s="33"/>
      <c r="AY1" s="33"/>
      <c r="AZ1" s="43"/>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31" t="s">
        <v>4</v>
      </c>
      <c r="EC1" s="32"/>
      <c r="ED1" s="32"/>
      <c r="EE1" s="32"/>
      <c r="EF1" s="32"/>
      <c r="EG1" s="32"/>
      <c r="EH1" s="32"/>
      <c r="EI1" s="32"/>
      <c r="EJ1" s="32"/>
      <c r="EK1" s="32"/>
      <c r="EL1" s="33"/>
      <c r="EM1" s="33"/>
      <c r="EN1" s="33"/>
      <c r="EO1" s="56" t="str">
        <f>VLOOKUP(A2,mask,2,FALSE)</f>
        <v>no</v>
      </c>
      <c r="EP1" s="57"/>
      <c r="EQ1" s="57"/>
      <c r="ER1" s="57"/>
      <c r="ES1" s="57"/>
      <c r="ET1" s="57"/>
      <c r="EU1" s="57"/>
      <c r="EV1" s="57"/>
      <c r="EW1" s="57"/>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row>
    <row r="2" spans="1:179" ht="47" thickBot="1" x14ac:dyDescent="0.25">
      <c r="A2" s="49" t="s">
        <v>5</v>
      </c>
      <c r="B2" s="50"/>
      <c r="C2" s="50"/>
      <c r="D2" s="50"/>
      <c r="E2" s="50"/>
      <c r="F2" s="50"/>
      <c r="G2" s="50"/>
      <c r="H2" s="50"/>
      <c r="I2" s="50"/>
      <c r="J2" s="50"/>
      <c r="K2" s="50"/>
      <c r="L2" s="50"/>
      <c r="M2" s="51"/>
      <c r="N2" s="44" t="s">
        <v>6</v>
      </c>
      <c r="O2" s="45"/>
      <c r="P2" s="45"/>
      <c r="Q2" s="45"/>
      <c r="R2" s="45"/>
      <c r="S2" s="45"/>
      <c r="T2" s="45"/>
      <c r="U2" s="45"/>
      <c r="V2" s="45"/>
      <c r="W2" s="46"/>
      <c r="X2" s="46"/>
      <c r="Y2" s="46"/>
      <c r="Z2" s="46"/>
      <c r="AA2" s="44" t="s">
        <v>7</v>
      </c>
      <c r="AB2" s="45"/>
      <c r="AC2" s="45"/>
      <c r="AD2" s="45"/>
      <c r="AE2" s="45"/>
      <c r="AF2" s="45"/>
      <c r="AG2" s="45"/>
      <c r="AH2" s="45"/>
      <c r="AI2" s="45"/>
      <c r="AJ2" s="46"/>
      <c r="AK2" s="46"/>
      <c r="AL2" s="46"/>
      <c r="AM2" s="46"/>
      <c r="AN2" s="44" t="s">
        <v>8</v>
      </c>
      <c r="AO2" s="45"/>
      <c r="AP2" s="45"/>
      <c r="AQ2" s="45"/>
      <c r="AR2" s="45"/>
      <c r="AS2" s="45"/>
      <c r="AT2" s="45"/>
      <c r="AU2" s="45"/>
      <c r="AV2" s="45"/>
      <c r="AW2" s="46"/>
      <c r="AX2" s="46"/>
      <c r="AY2" s="46"/>
      <c r="AZ2" s="47"/>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34" t="s">
        <v>9</v>
      </c>
      <c r="EC2" s="35"/>
      <c r="ED2" s="35"/>
      <c r="EE2" s="35"/>
      <c r="EF2" s="35"/>
      <c r="EG2" s="35"/>
      <c r="EH2" s="35"/>
      <c r="EI2" s="35"/>
      <c r="EJ2" s="35"/>
      <c r="EK2" s="35"/>
      <c r="EL2" s="35"/>
      <c r="EM2" s="35"/>
      <c r="EN2" s="36"/>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row>
    <row r="3" spans="1:179" ht="23.25" customHeight="1" x14ac:dyDescent="0.2">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9"/>
      <c r="FH3" s="19"/>
      <c r="FI3" s="19"/>
      <c r="FJ3" s="19"/>
      <c r="FK3" s="19"/>
      <c r="FL3" s="19"/>
      <c r="FM3" s="19"/>
      <c r="FN3" s="19"/>
      <c r="FO3" s="19"/>
      <c r="FP3" s="19"/>
      <c r="FQ3" s="19"/>
      <c r="FR3" s="19"/>
      <c r="FS3" s="19"/>
      <c r="FT3" s="19"/>
      <c r="FU3" s="19"/>
      <c r="FV3" s="19"/>
      <c r="FW3" s="19"/>
    </row>
    <row r="4" spans="1:179" ht="63" customHeight="1" thickBot="1" x14ac:dyDescent="0.25">
      <c r="A4" s="41" t="str">
        <f>問題文入力シート!B2</f>
        <v>座</v>
      </c>
      <c r="B4" s="42"/>
      <c r="C4" s="42"/>
      <c r="D4" s="42"/>
      <c r="E4" s="42"/>
      <c r="F4" s="42"/>
      <c r="G4" s="41" t="str">
        <f>問題文入力シート!C2</f>
        <v>幼</v>
      </c>
      <c r="H4" s="42"/>
      <c r="I4" s="42"/>
      <c r="J4" s="42"/>
      <c r="K4" s="42"/>
      <c r="L4" s="42"/>
      <c r="M4" s="41" t="str">
        <f>問題文入力シート!D2</f>
        <v>著</v>
      </c>
      <c r="N4" s="42"/>
      <c r="O4" s="42"/>
      <c r="P4" s="42"/>
      <c r="Q4" s="42"/>
      <c r="R4" s="42"/>
      <c r="S4" s="41" t="str">
        <f>問題文入力シート!E2</f>
        <v>権</v>
      </c>
      <c r="T4" s="42"/>
      <c r="U4" s="42"/>
      <c r="V4" s="42"/>
      <c r="W4" s="42"/>
      <c r="X4" s="42"/>
      <c r="Y4" s="41" t="str">
        <f>問題文入力シート!F2</f>
        <v>尊</v>
      </c>
      <c r="Z4" s="42"/>
      <c r="AA4" s="42"/>
      <c r="AB4" s="42"/>
      <c r="AC4" s="42"/>
      <c r="AD4" s="42"/>
      <c r="AE4" s="41" t="str">
        <f>問題文入力シート!G2</f>
        <v>庁</v>
      </c>
      <c r="AF4" s="42"/>
      <c r="AG4" s="42"/>
      <c r="AH4" s="42"/>
      <c r="AI4" s="42"/>
      <c r="AJ4" s="42"/>
      <c r="AK4" s="41" t="str">
        <f>問題文入力シート!H2</f>
        <v>装</v>
      </c>
      <c r="AL4" s="42"/>
      <c r="AM4" s="42"/>
      <c r="AN4" s="42"/>
      <c r="AO4" s="42"/>
      <c r="AP4" s="42"/>
      <c r="AQ4" s="41" t="str">
        <f>問題文入力シート!I2</f>
        <v>届</v>
      </c>
      <c r="AR4" s="42"/>
      <c r="AS4" s="42"/>
      <c r="AT4" s="42"/>
      <c r="AU4" s="42"/>
      <c r="AV4" s="42"/>
      <c r="AW4" s="41" t="str">
        <f>問題文入力シート!J2</f>
        <v>自</v>
      </c>
      <c r="AX4" s="42"/>
      <c r="AY4" s="42"/>
      <c r="AZ4" s="42"/>
      <c r="BA4" s="42"/>
      <c r="BB4" s="42"/>
      <c r="BC4" s="41" t="str">
        <f>問題文入力シート!K2</f>
        <v>心</v>
      </c>
      <c r="BD4" s="42"/>
      <c r="BE4" s="42"/>
      <c r="BF4" s="42"/>
      <c r="BG4" s="42"/>
      <c r="BH4" s="42"/>
      <c r="BI4" s="41" t="str">
        <f>問題文入力シート!L2</f>
        <v>利</v>
      </c>
      <c r="BJ4" s="42"/>
      <c r="BK4" s="42"/>
      <c r="BL4" s="42"/>
      <c r="BM4" s="42"/>
      <c r="BN4" s="42"/>
      <c r="BO4" s="41" t="str">
        <f>問題文入力シート!M2</f>
        <v>包</v>
      </c>
      <c r="BP4" s="42"/>
      <c r="BQ4" s="42"/>
      <c r="BR4" s="42"/>
      <c r="BS4" s="42"/>
      <c r="BT4" s="42"/>
      <c r="BU4" s="41" t="str">
        <f>問題文入力シート!N2</f>
        <v>改</v>
      </c>
      <c r="BV4" s="42"/>
      <c r="BW4" s="42"/>
      <c r="BX4" s="42"/>
      <c r="BY4" s="42"/>
      <c r="BZ4" s="42"/>
      <c r="CA4" s="41" t="str">
        <f>問題文入力シート!O2</f>
        <v>舎</v>
      </c>
      <c r="CB4" s="42"/>
      <c r="CC4" s="42"/>
      <c r="CD4" s="42"/>
      <c r="CE4" s="42"/>
      <c r="CF4" s="42"/>
      <c r="CG4" s="41" t="str">
        <f>問題文入力シート!P2</f>
        <v>正</v>
      </c>
      <c r="CH4" s="42"/>
      <c r="CI4" s="42"/>
      <c r="CJ4" s="42"/>
      <c r="CK4" s="42"/>
      <c r="CL4" s="58"/>
      <c r="CM4" s="53" t="s">
        <v>10</v>
      </c>
      <c r="CN4" s="54"/>
      <c r="CO4" s="54"/>
      <c r="CP4" s="55"/>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3"/>
      <c r="ED4" s="19"/>
      <c r="EE4" s="19"/>
      <c r="EF4" s="19"/>
      <c r="EG4" s="19"/>
      <c r="EH4" s="19"/>
      <c r="EI4" s="19"/>
      <c r="EJ4" s="19"/>
      <c r="EK4" s="19"/>
      <c r="EL4" s="19"/>
      <c r="EM4" s="19"/>
      <c r="EN4" s="19"/>
      <c r="EO4" s="19"/>
      <c r="EP4" s="19"/>
      <c r="EQ4" s="19"/>
      <c r="ER4" s="19"/>
      <c r="ES4" s="19"/>
      <c r="ET4" s="19"/>
      <c r="EU4" s="19"/>
      <c r="EV4" s="19"/>
      <c r="EW4" s="3"/>
      <c r="EX4" s="19"/>
      <c r="EY4" s="19"/>
      <c r="EZ4" s="19"/>
      <c r="FA4" s="19"/>
      <c r="FB4" s="19"/>
      <c r="FC4" s="19"/>
      <c r="FD4" s="19"/>
      <c r="FE4" s="19"/>
      <c r="FF4" s="19"/>
      <c r="FG4" s="19"/>
      <c r="FH4" s="19"/>
      <c r="FI4" s="19"/>
      <c r="FJ4" s="19"/>
      <c r="FK4" s="19"/>
      <c r="FL4" s="19"/>
      <c r="FM4" s="19"/>
      <c r="FN4" s="19"/>
      <c r="FO4" s="19"/>
      <c r="FP4" s="19"/>
      <c r="FQ4" s="3"/>
      <c r="FR4" s="19"/>
      <c r="FS4" s="19"/>
      <c r="FT4" s="19"/>
      <c r="FU4" s="19"/>
      <c r="FV4" s="19"/>
      <c r="FW4" s="19"/>
    </row>
    <row r="5" spans="1:179" ht="52.5" customHeight="1" thickBot="1" x14ac:dyDescent="0.25">
      <c r="A5" s="38" t="str">
        <f ca="1">VLOOKUP(10,list,14,FALSE)</f>
        <v>正</v>
      </c>
      <c r="B5" s="39"/>
      <c r="C5" s="39"/>
      <c r="D5" s="39"/>
      <c r="E5" s="40"/>
      <c r="F5" s="37" t="str">
        <f ca="1">IF($AA$2="入れる",VLOOKUP(10,list,3,FALSE),"")</f>
        <v>せい</v>
      </c>
      <c r="G5" s="37"/>
      <c r="H5" s="37"/>
      <c r="I5" s="37"/>
      <c r="J5" s="38" t="str">
        <f ca="1">VLOOKUP(9,list,14,FALSE)</f>
        <v>幼</v>
      </c>
      <c r="K5" s="39"/>
      <c r="L5" s="39"/>
      <c r="M5" s="39"/>
      <c r="N5" s="40"/>
      <c r="O5" s="37" t="str">
        <f ca="1">IF($AA$2="入れる",VLOOKUP(9,list,3,FALSE),"")</f>
        <v>おさな</v>
      </c>
      <c r="P5" s="37"/>
      <c r="Q5" s="37"/>
      <c r="R5" s="37"/>
      <c r="S5" s="38" t="str">
        <f ca="1">VLOOKUP(8,list,14,FALSE)</f>
        <v>尊</v>
      </c>
      <c r="T5" s="39"/>
      <c r="U5" s="39"/>
      <c r="V5" s="39"/>
      <c r="W5" s="40"/>
      <c r="X5" s="37" t="str">
        <f ca="1">IF($AA$2="入れる",VLOOKUP(8,list,3,FALSE),"")</f>
        <v>たっと</v>
      </c>
      <c r="Y5" s="37"/>
      <c r="Z5" s="37"/>
      <c r="AA5" s="37"/>
      <c r="AB5" s="38" t="str">
        <f ca="1">VLOOKUP(7,list,14,FALSE)</f>
        <v>書</v>
      </c>
      <c r="AC5" s="39"/>
      <c r="AD5" s="39"/>
      <c r="AE5" s="39"/>
      <c r="AF5" s="40"/>
      <c r="AG5" s="37" t="str">
        <f ca="1">IF($AA$2="入れる",VLOOKUP(7,list,3,FALSE),"")</f>
        <v>しょ</v>
      </c>
      <c r="AH5" s="37"/>
      <c r="AI5" s="37"/>
      <c r="AJ5" s="37"/>
      <c r="AK5" s="38" t="str">
        <f ca="1">VLOOKUP(6,list,14,FALSE)</f>
        <v>建</v>
      </c>
      <c r="AL5" s="39"/>
      <c r="AM5" s="39"/>
      <c r="AN5" s="39"/>
      <c r="AO5" s="40"/>
      <c r="AP5" s="37" t="str">
        <f ca="1">IF($AA$2="入れる",VLOOKUP(6,list,3,FALSE),"")</f>
        <v>たて</v>
      </c>
      <c r="AQ5" s="37"/>
      <c r="AR5" s="37"/>
      <c r="AS5" s="37"/>
      <c r="AT5" s="38" t="str">
        <f ca="1">VLOOKUP(5,list,14,FALSE)</f>
        <v>本</v>
      </c>
      <c r="AU5" s="39"/>
      <c r="AV5" s="39"/>
      <c r="AW5" s="39"/>
      <c r="AX5" s="40"/>
      <c r="AY5" s="37" t="str">
        <f ca="1">IF($AA$2="入れる",VLOOKUP(5,list,3,FALSE),"")</f>
        <v>ほん</v>
      </c>
      <c r="AZ5" s="37"/>
      <c r="BA5" s="37"/>
      <c r="BB5" s="37"/>
      <c r="BC5" s="38" t="str">
        <f ca="1">VLOOKUP(4,list,14,FALSE)</f>
        <v>市</v>
      </c>
      <c r="BD5" s="39"/>
      <c r="BE5" s="39"/>
      <c r="BF5" s="39"/>
      <c r="BG5" s="40"/>
      <c r="BH5" s="37" t="str">
        <f ca="1">IF($AA$2="入れる",VLOOKUP(4,list,3,FALSE),"")</f>
        <v>し</v>
      </c>
      <c r="BI5" s="37"/>
      <c r="BJ5" s="37"/>
      <c r="BK5" s="37"/>
      <c r="BL5" s="38" t="str">
        <f ca="1">VLOOKUP(3,list,14,FALSE)</f>
        <v>白</v>
      </c>
      <c r="BM5" s="39"/>
      <c r="BN5" s="39"/>
      <c r="BO5" s="39"/>
      <c r="BP5" s="40"/>
      <c r="BQ5" s="37" t="str">
        <f ca="1">IF($AA$2="入れる",VLOOKUP(3,list,3,FALSE),"")</f>
        <v>しろ</v>
      </c>
      <c r="BR5" s="37"/>
      <c r="BS5" s="37"/>
      <c r="BT5" s="37"/>
      <c r="BU5" s="38" t="str">
        <f ca="1">VLOOKUP(2,list,14,FALSE)</f>
        <v>権</v>
      </c>
      <c r="BV5" s="39"/>
      <c r="BW5" s="39"/>
      <c r="BX5" s="39"/>
      <c r="BY5" s="40"/>
      <c r="BZ5" s="37" t="str">
        <f ca="1">IF($AA$2="入れる",VLOOKUP(2,list,3,FALSE),"")</f>
        <v>けん</v>
      </c>
      <c r="CA5" s="37"/>
      <c r="CB5" s="37"/>
      <c r="CC5" s="37"/>
      <c r="CD5" s="38" t="str">
        <f ca="1">VLOOKUP(1,list,14,FALSE)</f>
        <v>自</v>
      </c>
      <c r="CE5" s="39"/>
      <c r="CF5" s="39"/>
      <c r="CG5" s="39"/>
      <c r="CH5" s="40"/>
      <c r="CI5" s="37" t="str">
        <f ca="1">IF($AA$2="入れる",VLOOKUP(1,list,3,FALSE),"")</f>
        <v>じ</v>
      </c>
      <c r="CJ5" s="37"/>
      <c r="CK5" s="37"/>
      <c r="CL5" s="37"/>
      <c r="CM5" s="53"/>
      <c r="CN5" s="54"/>
      <c r="CO5" s="54"/>
      <c r="CP5" s="55"/>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9"/>
      <c r="FH5" s="19"/>
      <c r="FI5" s="19"/>
      <c r="FJ5" s="19"/>
      <c r="FK5" s="19"/>
      <c r="FL5" s="19"/>
      <c r="FM5" s="19"/>
      <c r="FN5" s="19"/>
      <c r="FO5" s="19"/>
      <c r="FP5" s="2"/>
      <c r="FQ5" s="2"/>
      <c r="FR5" s="2"/>
      <c r="FS5" s="2"/>
      <c r="FT5" s="2"/>
      <c r="FU5" s="2"/>
      <c r="FV5" s="2"/>
      <c r="FW5" s="2"/>
    </row>
    <row r="6" spans="1:179" ht="52.5" customHeight="1" thickBot="1" x14ac:dyDescent="0.25">
      <c r="A6" s="38" t="str">
        <f ca="1">VLOOKUP(10,list,15,FALSE)</f>
        <v>座</v>
      </c>
      <c r="B6" s="39"/>
      <c r="C6" s="39"/>
      <c r="D6" s="39"/>
      <c r="E6" s="40"/>
      <c r="F6" s="37" t="str">
        <f ca="1">IF($AA$2="入れる",VLOOKUP(10,list,4,FALSE),"")</f>
        <v>ざ</v>
      </c>
      <c r="G6" s="37"/>
      <c r="H6" s="37"/>
      <c r="I6" s="37"/>
      <c r="J6" s="38" t="str">
        <f ca="1">VLOOKUP(9,list,15,FALSE)</f>
        <v>い</v>
      </c>
      <c r="K6" s="39"/>
      <c r="L6" s="39"/>
      <c r="M6" s="39"/>
      <c r="N6" s="40"/>
      <c r="O6" s="37" t="str">
        <f ca="1">IF($AA$2="入れる",VLOOKUP(9,list,4,FALSE),"")</f>
        <v/>
      </c>
      <c r="P6" s="37"/>
      <c r="Q6" s="37"/>
      <c r="R6" s="37"/>
      <c r="S6" s="38" t="str">
        <f ca="1">VLOOKUP(8,list,15,FALSE)</f>
        <v>い</v>
      </c>
      <c r="T6" s="39"/>
      <c r="U6" s="39"/>
      <c r="V6" s="39"/>
      <c r="W6" s="40"/>
      <c r="X6" s="37" t="str">
        <f ca="1">IF($AA$2="入れる",VLOOKUP(8,list,4,FALSE),"")</f>
        <v/>
      </c>
      <c r="Y6" s="37"/>
      <c r="Z6" s="37"/>
      <c r="AA6" s="37"/>
      <c r="AB6" s="38" t="str">
        <f ca="1">VLOOKUP(7,list,15,FALSE)</f>
        <v>類</v>
      </c>
      <c r="AC6" s="39"/>
      <c r="AD6" s="39"/>
      <c r="AE6" s="39"/>
      <c r="AF6" s="40"/>
      <c r="AG6" s="37" t="str">
        <f ca="1">IF($AA$2="入れる",VLOOKUP(7,list,4,FALSE),"")</f>
        <v>るい</v>
      </c>
      <c r="AH6" s="37"/>
      <c r="AI6" s="37"/>
      <c r="AJ6" s="37"/>
      <c r="AK6" s="38" t="str">
        <f ca="1">VLOOKUP(6,list,15,FALSE)</f>
        <v>物</v>
      </c>
      <c r="AL6" s="39"/>
      <c r="AM6" s="39"/>
      <c r="AN6" s="39"/>
      <c r="AO6" s="40"/>
      <c r="AP6" s="37" t="str">
        <f ca="1">IF($AA$2="入れる",VLOOKUP(6,list,4,FALSE),"")</f>
        <v>もの</v>
      </c>
      <c r="AQ6" s="37"/>
      <c r="AR6" s="37"/>
      <c r="AS6" s="37"/>
      <c r="AT6" s="38" t="str">
        <f ca="1">VLOOKUP(5,list,15,FALSE)</f>
        <v>の</v>
      </c>
      <c r="AU6" s="39"/>
      <c r="AV6" s="39"/>
      <c r="AW6" s="39"/>
      <c r="AX6" s="40"/>
      <c r="AY6" s="37" t="str">
        <f ca="1">IF($AA$2="入れる",VLOOKUP(5,list,4,FALSE),"")</f>
        <v/>
      </c>
      <c r="AZ6" s="37"/>
      <c r="BA6" s="37"/>
      <c r="BB6" s="37"/>
      <c r="BC6" s="38" t="str">
        <f ca="1">VLOOKUP(4,list,15,FALSE)</f>
        <v>の</v>
      </c>
      <c r="BD6" s="39"/>
      <c r="BE6" s="39"/>
      <c r="BF6" s="39"/>
      <c r="BG6" s="40"/>
      <c r="BH6" s="37" t="str">
        <f ca="1">IF($AA$2="入れる",VLOOKUP(4,list,4,FALSE),"")</f>
        <v/>
      </c>
      <c r="BI6" s="37"/>
      <c r="BJ6" s="37"/>
      <c r="BK6" s="37"/>
      <c r="BL6" s="38" t="str">
        <f ca="1">VLOOKUP(3,list,15,FALSE)</f>
        <v>い</v>
      </c>
      <c r="BM6" s="39"/>
      <c r="BN6" s="39"/>
      <c r="BO6" s="39"/>
      <c r="BP6" s="40"/>
      <c r="BQ6" s="37" t="str">
        <f ca="1">IF($AA$2="入れる",VLOOKUP(3,list,4,FALSE),"")</f>
        <v/>
      </c>
      <c r="BR6" s="37"/>
      <c r="BS6" s="37"/>
      <c r="BT6" s="37"/>
      <c r="BU6" s="38" t="str">
        <f ca="1">VLOOKUP(2,list,15,FALSE)</f>
        <v>利</v>
      </c>
      <c r="BV6" s="39"/>
      <c r="BW6" s="39"/>
      <c r="BX6" s="39"/>
      <c r="BY6" s="40"/>
      <c r="BZ6" s="37" t="str">
        <f ca="1">IF($AA$2="入れる",VLOOKUP(2,list,4,FALSE),"")</f>
        <v>り</v>
      </c>
      <c r="CA6" s="37"/>
      <c r="CB6" s="37"/>
      <c r="CC6" s="37"/>
      <c r="CD6" s="38" t="str">
        <f ca="1">VLOOKUP(1,list,15,FALSE)</f>
        <v>尊</v>
      </c>
      <c r="CE6" s="39"/>
      <c r="CF6" s="39"/>
      <c r="CG6" s="39"/>
      <c r="CH6" s="40"/>
      <c r="CI6" s="37" t="str">
        <f ca="1">IF($AA$2="入れる",VLOOKUP(1,list,4,FALSE),"")</f>
        <v>そん</v>
      </c>
      <c r="CJ6" s="37"/>
      <c r="CK6" s="37"/>
      <c r="CL6" s="37"/>
      <c r="CM6" s="53"/>
      <c r="CN6" s="54"/>
      <c r="CO6" s="54"/>
      <c r="CP6" s="55"/>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20"/>
      <c r="EV6" s="20"/>
      <c r="EW6" s="20"/>
      <c r="EX6" s="20"/>
      <c r="EY6" s="19"/>
      <c r="EZ6" s="20"/>
      <c r="FA6" s="20"/>
      <c r="FB6" s="20"/>
      <c r="FC6" s="20"/>
      <c r="FD6" s="20"/>
      <c r="FE6" s="20"/>
      <c r="FF6" s="20"/>
      <c r="FG6" s="19"/>
      <c r="FH6" s="19"/>
      <c r="FI6" s="19"/>
      <c r="FJ6" s="19"/>
      <c r="FK6" s="19"/>
      <c r="FL6" s="19"/>
      <c r="FM6" s="19"/>
      <c r="FN6" s="19"/>
      <c r="FO6" s="19"/>
      <c r="FP6" s="19"/>
      <c r="FQ6" s="19"/>
      <c r="FR6" s="19"/>
      <c r="FS6" s="19"/>
      <c r="FT6" s="19"/>
      <c r="FU6" s="19"/>
      <c r="FV6" s="19"/>
      <c r="FW6" s="19"/>
    </row>
    <row r="7" spans="1:179" ht="52.5" customHeight="1" thickBot="1" x14ac:dyDescent="0.25">
      <c r="A7" s="38" t="str">
        <f ca="1">VLOOKUP(10,list,16,FALSE)</f>
        <v>し</v>
      </c>
      <c r="B7" s="39"/>
      <c r="C7" s="39"/>
      <c r="D7" s="39"/>
      <c r="E7" s="40"/>
      <c r="F7" s="37" t="str">
        <f ca="1">IF($AA$2="入れる",VLOOKUP(10,list,5,FALSE),"")</f>
        <v/>
      </c>
      <c r="G7" s="37"/>
      <c r="H7" s="37"/>
      <c r="I7" s="37"/>
      <c r="J7" s="38" t="str">
        <f ca="1">VLOOKUP(9,list,16,FALSE)</f>
        <v>こ</v>
      </c>
      <c r="K7" s="39"/>
      <c r="L7" s="39"/>
      <c r="M7" s="39"/>
      <c r="N7" s="40"/>
      <c r="O7" s="37" t="str">
        <f ca="1">IF($AA$2="入れる",VLOOKUP(9,list,5,FALSE),"")</f>
        <v/>
      </c>
      <c r="P7" s="37"/>
      <c r="Q7" s="37"/>
      <c r="R7" s="37"/>
      <c r="S7" s="38" t="str">
        <f ca="1">VLOOKUP(8,list,16,FALSE)</f>
        <v>教</v>
      </c>
      <c r="T7" s="39"/>
      <c r="U7" s="39"/>
      <c r="V7" s="39"/>
      <c r="W7" s="40"/>
      <c r="X7" s="37" t="str">
        <f ca="1">IF($AA$2="入れる",VLOOKUP(8,list,5,FALSE),"")</f>
        <v>おし</v>
      </c>
      <c r="Y7" s="37"/>
      <c r="Z7" s="37"/>
      <c r="AA7" s="37"/>
      <c r="AB7" s="38" t="str">
        <f ca="1">VLOOKUP(7,list,16,FALSE)</f>
        <v>を</v>
      </c>
      <c r="AC7" s="39"/>
      <c r="AD7" s="39"/>
      <c r="AE7" s="39"/>
      <c r="AF7" s="40"/>
      <c r="AG7" s="37" t="str">
        <f ca="1">IF($AA$2="入れる",VLOOKUP(7,list,5,FALSE),"")</f>
        <v/>
      </c>
      <c r="AH7" s="37"/>
      <c r="AI7" s="37"/>
      <c r="AJ7" s="37"/>
      <c r="AK7" s="38" t="str">
        <f ca="1">VLOOKUP(6,list,16,FALSE)</f>
        <v>を</v>
      </c>
      <c r="AL7" s="39"/>
      <c r="AM7" s="39"/>
      <c r="AN7" s="39"/>
      <c r="AO7" s="40"/>
      <c r="AP7" s="37" t="str">
        <f ca="1">IF($AA$2="入れる",VLOOKUP(6,list,5,FALSE),"")</f>
        <v/>
      </c>
      <c r="AQ7" s="37"/>
      <c r="AR7" s="37"/>
      <c r="AS7" s="37"/>
      <c r="AT7" s="38" t="str">
        <f ca="1">VLOOKUP(5,list,16,FALSE)</f>
        <v>著</v>
      </c>
      <c r="AU7" s="39"/>
      <c r="AV7" s="39"/>
      <c r="AW7" s="39"/>
      <c r="AX7" s="40"/>
      <c r="AY7" s="37" t="str">
        <f ca="1">IF($AA$2="入れる",VLOOKUP(5,list,5,FALSE),"")</f>
        <v>ちょ</v>
      </c>
      <c r="AZ7" s="37"/>
      <c r="BA7" s="37"/>
      <c r="BB7" s="37"/>
      <c r="BC7" s="38" t="str">
        <f ca="1">VLOOKUP(4,list,16,FALSE)</f>
        <v>庁</v>
      </c>
      <c r="BD7" s="39"/>
      <c r="BE7" s="39"/>
      <c r="BF7" s="39"/>
      <c r="BG7" s="40"/>
      <c r="BH7" s="37" t="str">
        <f ca="1">IF($AA$2="入れる",VLOOKUP(4,list,5,FALSE),"")</f>
        <v>ちょう</v>
      </c>
      <c r="BI7" s="37"/>
      <c r="BJ7" s="37"/>
      <c r="BK7" s="37"/>
      <c r="BL7" s="38" t="str">
        <f ca="1">VLOOKUP(3,list,16,FALSE)</f>
        <v>包</v>
      </c>
      <c r="BM7" s="39"/>
      <c r="BN7" s="39"/>
      <c r="BO7" s="39"/>
      <c r="BP7" s="40"/>
      <c r="BQ7" s="37" t="str">
        <f ca="1">IF($AA$2="入れる",VLOOKUP(3,list,5,FALSE),"")</f>
        <v>ほう</v>
      </c>
      <c r="BR7" s="37"/>
      <c r="BS7" s="37"/>
      <c r="BT7" s="37"/>
      <c r="BU7" s="38" t="str">
        <f ca="1">VLOOKUP(2,list,16,FALSE)</f>
        <v>を</v>
      </c>
      <c r="BV7" s="39"/>
      <c r="BW7" s="39"/>
      <c r="BX7" s="39"/>
      <c r="BY7" s="40"/>
      <c r="BZ7" s="37" t="str">
        <f ca="1">IF($AA$2="入れる",VLOOKUP(2,list,5,FALSE),"")</f>
        <v/>
      </c>
      <c r="CA7" s="37"/>
      <c r="CB7" s="37"/>
      <c r="CC7" s="37"/>
      <c r="CD7" s="38" t="str">
        <f ca="1">VLOOKUP(1,list,16,FALSE)</f>
        <v>心</v>
      </c>
      <c r="CE7" s="39"/>
      <c r="CF7" s="39"/>
      <c r="CG7" s="39"/>
      <c r="CH7" s="40"/>
      <c r="CI7" s="37" t="str">
        <f ca="1">IF($AA$2="入れる",VLOOKUP(1,list,5,FALSE),"")</f>
        <v>しん</v>
      </c>
      <c r="CJ7" s="37"/>
      <c r="CK7" s="37"/>
      <c r="CL7" s="37"/>
      <c r="CM7" s="53"/>
      <c r="CN7" s="54"/>
      <c r="CO7" s="54"/>
      <c r="CP7" s="55"/>
      <c r="CQ7" s="19"/>
      <c r="CR7" s="19"/>
      <c r="CS7" s="19"/>
      <c r="CT7" s="19"/>
      <c r="CU7" s="19"/>
      <c r="CV7" s="19"/>
      <c r="CW7" s="19"/>
      <c r="CX7" s="19"/>
      <c r="CY7" s="19"/>
      <c r="CZ7" s="19"/>
      <c r="DA7" s="19"/>
      <c r="DB7" s="19"/>
      <c r="DC7" s="19"/>
      <c r="DD7" s="19"/>
      <c r="DE7" s="19"/>
      <c r="DF7" s="19"/>
      <c r="DG7" s="19"/>
      <c r="DH7" s="19"/>
      <c r="DI7" s="19"/>
      <c r="DJ7" s="19"/>
      <c r="DK7" s="19"/>
      <c r="DL7" s="19"/>
      <c r="DM7" s="19"/>
      <c r="DN7" s="19"/>
      <c r="DO7" s="19"/>
      <c r="DP7" s="19"/>
      <c r="DQ7" s="19"/>
      <c r="DR7" s="19"/>
      <c r="DS7" s="19"/>
      <c r="DT7" s="19"/>
      <c r="DU7" s="19"/>
      <c r="DV7" s="19"/>
      <c r="DW7" s="19"/>
      <c r="DX7" s="19"/>
      <c r="DY7" s="19"/>
      <c r="DZ7" s="19"/>
      <c r="EA7" s="19"/>
      <c r="EB7" s="19"/>
      <c r="EC7" s="19"/>
      <c r="ED7" s="19"/>
      <c r="EE7" s="19"/>
      <c r="EF7" s="19"/>
      <c r="EG7" s="19"/>
      <c r="EH7" s="19"/>
      <c r="EI7" s="19"/>
      <c r="EJ7" s="19"/>
      <c r="EK7" s="19"/>
      <c r="EL7" s="19"/>
      <c r="EM7" s="19"/>
      <c r="EN7" s="19"/>
      <c r="EO7" s="19"/>
      <c r="EP7" s="19"/>
      <c r="EQ7" s="19"/>
      <c r="ER7" s="19"/>
      <c r="ES7" s="19"/>
      <c r="ET7" s="20"/>
      <c r="EU7" s="20"/>
      <c r="EV7" s="20"/>
      <c r="EW7" s="20"/>
      <c r="EX7" s="20"/>
      <c r="EY7" s="19"/>
      <c r="EZ7" s="20"/>
      <c r="FA7" s="20"/>
      <c r="FB7" s="20"/>
      <c r="FC7" s="20"/>
      <c r="FD7" s="20"/>
      <c r="FE7" s="20"/>
      <c r="FF7" s="20"/>
      <c r="FG7" s="19"/>
      <c r="FH7" s="19"/>
      <c r="FI7" s="19"/>
      <c r="FJ7" s="19"/>
      <c r="FK7" s="19"/>
      <c r="FL7" s="19"/>
      <c r="FM7" s="19"/>
      <c r="FN7" s="19"/>
      <c r="FO7" s="19"/>
      <c r="FP7" s="19"/>
      <c r="FQ7" s="19"/>
      <c r="FR7" s="19"/>
      <c r="FS7" s="19"/>
      <c r="FT7" s="19"/>
      <c r="FU7" s="19"/>
      <c r="FV7" s="19"/>
      <c r="FW7" s="19"/>
    </row>
    <row r="8" spans="1:179" ht="52.5" customHeight="1" thickBot="1" x14ac:dyDescent="0.25">
      <c r="A8" s="38" t="str">
        <f ca="1">VLOOKUP(10,list,17,FALSE)</f>
        <v>て</v>
      </c>
      <c r="B8" s="39"/>
      <c r="C8" s="39"/>
      <c r="D8" s="39"/>
      <c r="E8" s="40"/>
      <c r="F8" s="37" t="str">
        <f ca="1">IF($AA$2="入れる",VLOOKUP(10,list,6,FALSE),"")</f>
        <v/>
      </c>
      <c r="G8" s="37"/>
      <c r="H8" s="37"/>
      <c r="I8" s="37"/>
      <c r="J8" s="38" t="str">
        <f ca="1">VLOOKUP(9,list,17,FALSE)</f>
        <v>ろ</v>
      </c>
      <c r="K8" s="39"/>
      <c r="L8" s="39"/>
      <c r="M8" s="39"/>
      <c r="N8" s="40"/>
      <c r="O8" s="37" t="str">
        <f ca="1">IF($AA$2="入れる",VLOOKUP(9,list,6,FALSE),"")</f>
        <v/>
      </c>
      <c r="P8" s="37"/>
      <c r="Q8" s="37"/>
      <c r="R8" s="37"/>
      <c r="S8" s="38" t="str">
        <f ca="1">VLOOKUP(8,list,17,FALSE)</f>
        <v>え</v>
      </c>
      <c r="T8" s="39"/>
      <c r="U8" s="39"/>
      <c r="V8" s="39"/>
      <c r="W8" s="40"/>
      <c r="X8" s="37" t="str">
        <f ca="1">IF($AA$2="入れる",VLOOKUP(8,list,6,FALSE),"")</f>
        <v/>
      </c>
      <c r="Y8" s="37"/>
      <c r="Z8" s="37"/>
      <c r="AA8" s="37"/>
      <c r="AB8" s="38" t="str">
        <f ca="1">VLOOKUP(7,list,17,FALSE)</f>
        <v>届</v>
      </c>
      <c r="AC8" s="39"/>
      <c r="AD8" s="39"/>
      <c r="AE8" s="39"/>
      <c r="AF8" s="40"/>
      <c r="AG8" s="37" t="str">
        <f ca="1">IF($AA$2="入れる",VLOOKUP(7,list,6,FALSE),"")</f>
        <v>とど</v>
      </c>
      <c r="AH8" s="37"/>
      <c r="AI8" s="37"/>
      <c r="AJ8" s="37"/>
      <c r="AK8" s="38" t="str">
        <f ca="1">VLOOKUP(6,list,17,FALSE)</f>
        <v>改</v>
      </c>
      <c r="AL8" s="39"/>
      <c r="AM8" s="39"/>
      <c r="AN8" s="39"/>
      <c r="AO8" s="40"/>
      <c r="AP8" s="37" t="str">
        <f ca="1">IF($AA$2="入れる",VLOOKUP(6,list,6,FALSE),"")</f>
        <v>かい</v>
      </c>
      <c r="AQ8" s="37"/>
      <c r="AR8" s="37"/>
      <c r="AS8" s="37"/>
      <c r="AT8" s="38" t="str">
        <f ca="1">VLOOKUP(5,list,17,FALSE)</f>
        <v>者</v>
      </c>
      <c r="AU8" s="39"/>
      <c r="AV8" s="39"/>
      <c r="AW8" s="39"/>
      <c r="AX8" s="40"/>
      <c r="AY8" s="37" t="str">
        <f ca="1">IF($AA$2="入れる",VLOOKUP(5,list,6,FALSE),"")</f>
        <v>しゃ</v>
      </c>
      <c r="AZ8" s="37"/>
      <c r="BA8" s="37"/>
      <c r="BB8" s="37"/>
      <c r="BC8" s="38" t="str">
        <f ca="1">VLOOKUP(4,list,17,FALSE)</f>
        <v>舎</v>
      </c>
      <c r="BD8" s="39"/>
      <c r="BE8" s="39"/>
      <c r="BF8" s="39"/>
      <c r="BG8" s="40"/>
      <c r="BH8" s="37" t="str">
        <f ca="1">IF($AA$2="入れる",VLOOKUP(4,list,6,FALSE),"")</f>
        <v>しゃ</v>
      </c>
      <c r="BI8" s="37"/>
      <c r="BJ8" s="37"/>
      <c r="BK8" s="37"/>
      <c r="BL8" s="38" t="str">
        <f ca="1">VLOOKUP(3,list,17,FALSE)</f>
        <v>装</v>
      </c>
      <c r="BM8" s="39"/>
      <c r="BN8" s="39"/>
      <c r="BO8" s="39"/>
      <c r="BP8" s="40"/>
      <c r="BQ8" s="37" t="str">
        <f ca="1">IF($AA$2="入れる",VLOOKUP(3,list,6,FALSE),"")</f>
        <v>そう</v>
      </c>
      <c r="BR8" s="37"/>
      <c r="BS8" s="37"/>
      <c r="BT8" s="37"/>
      <c r="BU8" s="38" t="str">
        <f ca="1">VLOOKUP(2,list,17,FALSE)</f>
        <v>主</v>
      </c>
      <c r="BV8" s="39"/>
      <c r="BW8" s="39"/>
      <c r="BX8" s="39"/>
      <c r="BY8" s="40"/>
      <c r="BZ8" s="37" t="str">
        <f ca="1">IF($AA$2="入れる",VLOOKUP(2,list,6,FALSE),"")</f>
        <v>しゅ</v>
      </c>
      <c r="CA8" s="37"/>
      <c r="CB8" s="37"/>
      <c r="CC8" s="37"/>
      <c r="CD8" s="38" t="str">
        <f ca="1">VLOOKUP(1,list,17,FALSE)</f>
        <v>を</v>
      </c>
      <c r="CE8" s="39"/>
      <c r="CF8" s="39"/>
      <c r="CG8" s="39"/>
      <c r="CH8" s="40"/>
      <c r="CI8" s="37" t="str">
        <f ca="1">IF($AA$2="入れる",VLOOKUP(1,list,6,FALSE),"")</f>
        <v/>
      </c>
      <c r="CJ8" s="37"/>
      <c r="CK8" s="37"/>
      <c r="CL8" s="37"/>
      <c r="CM8" s="22" t="s">
        <v>11</v>
      </c>
      <c r="CN8" s="23"/>
      <c r="CO8" s="23"/>
      <c r="CP8" s="24"/>
      <c r="CQ8" s="19"/>
      <c r="CR8" s="19"/>
      <c r="CS8" s="19"/>
      <c r="CT8" s="19"/>
      <c r="CU8" s="19"/>
      <c r="CV8" s="19"/>
      <c r="CW8" s="19"/>
      <c r="CX8" s="19"/>
      <c r="CY8" s="19"/>
      <c r="CZ8" s="19"/>
      <c r="DA8" s="19"/>
      <c r="DB8" s="19"/>
      <c r="DC8" s="19"/>
      <c r="DD8" s="19"/>
      <c r="DE8" s="19"/>
      <c r="DF8" s="19"/>
      <c r="DG8" s="19"/>
      <c r="DH8" s="19"/>
      <c r="DI8" s="19"/>
      <c r="DJ8" s="19"/>
      <c r="DK8" s="19"/>
      <c r="DL8" s="19"/>
      <c r="DM8" s="19"/>
      <c r="DN8" s="19"/>
      <c r="DO8" s="19"/>
      <c r="DP8" s="19"/>
      <c r="DQ8" s="19"/>
      <c r="DR8" s="19"/>
      <c r="DS8" s="19"/>
      <c r="DT8" s="19"/>
      <c r="DU8" s="19"/>
      <c r="DV8" s="19"/>
      <c r="DW8" s="19"/>
      <c r="DX8" s="19"/>
      <c r="DY8" s="19"/>
      <c r="DZ8" s="19"/>
      <c r="EA8" s="19"/>
      <c r="EB8" s="19"/>
      <c r="EC8" s="19"/>
      <c r="ED8" s="19"/>
      <c r="EE8" s="19"/>
      <c r="EF8" s="19"/>
      <c r="EG8" s="19"/>
      <c r="EH8" s="19"/>
      <c r="EI8" s="19"/>
      <c r="EJ8" s="19"/>
      <c r="EK8" s="19"/>
      <c r="EL8" s="19"/>
      <c r="EM8" s="19"/>
      <c r="EN8" s="19"/>
      <c r="EO8" s="19"/>
      <c r="EP8" s="19"/>
      <c r="EQ8" s="19"/>
      <c r="ER8" s="19"/>
      <c r="ES8" s="19"/>
      <c r="ET8" s="19"/>
      <c r="EU8" s="19"/>
      <c r="EV8" s="19"/>
      <c r="EW8" s="19"/>
      <c r="EX8" s="19"/>
      <c r="EY8" s="19"/>
      <c r="EZ8" s="19"/>
      <c r="FA8" s="19"/>
      <c r="FB8" s="19"/>
      <c r="FC8" s="19"/>
      <c r="FD8" s="19"/>
      <c r="FE8" s="19"/>
      <c r="FF8" s="19"/>
      <c r="FG8" s="19"/>
      <c r="FH8" s="19"/>
      <c r="FI8" s="19"/>
      <c r="FJ8" s="19"/>
      <c r="FK8" s="19"/>
      <c r="FL8" s="19"/>
      <c r="FM8" s="19"/>
      <c r="FN8" s="19"/>
      <c r="FO8" s="19"/>
      <c r="FP8" s="19"/>
      <c r="FQ8" s="19"/>
      <c r="FR8" s="19"/>
      <c r="FS8" s="19"/>
      <c r="FT8" s="19"/>
      <c r="FU8" s="19"/>
      <c r="FV8" s="19"/>
      <c r="FW8" s="19"/>
    </row>
    <row r="9" spans="1:179" ht="52.5" customHeight="1" thickBot="1" x14ac:dyDescent="0.25">
      <c r="A9" s="38" t="str">
        <f ca="1">VLOOKUP(10,list,18,FALSE)</f>
        <v>聞</v>
      </c>
      <c r="B9" s="39"/>
      <c r="C9" s="39"/>
      <c r="D9" s="39"/>
      <c r="E9" s="40"/>
      <c r="F9" s="37" t="str">
        <f ca="1">IF($AA$2="入れる",VLOOKUP(10,list,7,FALSE),"")</f>
        <v>き</v>
      </c>
      <c r="G9" s="37"/>
      <c r="H9" s="37"/>
      <c r="I9" s="37"/>
      <c r="J9" s="38" t="str">
        <f ca="1">VLOOKUP(9,list,18,FALSE)</f>
        <v>の</v>
      </c>
      <c r="K9" s="39"/>
      <c r="L9" s="39"/>
      <c r="M9" s="39"/>
      <c r="N9" s="40"/>
      <c r="O9" s="37" t="str">
        <f ca="1">IF($AA$2="入れる",VLOOKUP(9,list,7,FALSE),"")</f>
        <v/>
      </c>
      <c r="P9" s="37"/>
      <c r="Q9" s="37"/>
      <c r="R9" s="37"/>
      <c r="S9" s="38" t="str">
        <f ca="1">VLOOKUP(8,list,18,FALSE)</f>
        <v/>
      </c>
      <c r="T9" s="39"/>
      <c r="U9" s="39"/>
      <c r="V9" s="39"/>
      <c r="W9" s="40"/>
      <c r="X9" s="37" t="str">
        <f ca="1">IF($AA$2="入れる",VLOOKUP(8,list,7,FALSE),"")</f>
        <v/>
      </c>
      <c r="Y9" s="37"/>
      <c r="Z9" s="37"/>
      <c r="AA9" s="37"/>
      <c r="AB9" s="38" t="str">
        <f ca="1">VLOOKUP(7,list,18,FALSE)</f>
        <v>け</v>
      </c>
      <c r="AC9" s="39"/>
      <c r="AD9" s="39"/>
      <c r="AE9" s="39"/>
      <c r="AF9" s="40"/>
      <c r="AG9" s="37" t="str">
        <f ca="1">IF($AA$2="入れる",VLOOKUP(7,list,7,FALSE),"")</f>
        <v/>
      </c>
      <c r="AH9" s="37"/>
      <c r="AI9" s="37"/>
      <c r="AJ9" s="37"/>
      <c r="AK9" s="38" t="str">
        <f ca="1">VLOOKUP(6,list,18,FALSE)</f>
        <v>装</v>
      </c>
      <c r="AL9" s="39"/>
      <c r="AM9" s="39"/>
      <c r="AN9" s="39"/>
      <c r="AO9" s="40"/>
      <c r="AP9" s="37" t="str">
        <f ca="1">IF($AA$2="入れる",VLOOKUP(6,list,7,FALSE),"")</f>
        <v>そう</v>
      </c>
      <c r="AQ9" s="37"/>
      <c r="AR9" s="37"/>
      <c r="AS9" s="37"/>
      <c r="AT9" s="38" t="str">
        <f ca="1">VLOOKUP(5,list,18,FALSE)</f>
        <v>に</v>
      </c>
      <c r="AU9" s="39"/>
      <c r="AV9" s="39"/>
      <c r="AW9" s="39"/>
      <c r="AX9" s="40"/>
      <c r="AY9" s="37" t="str">
        <f ca="1">IF($AA$2="入れる",VLOOKUP(5,list,7,FALSE),"")</f>
        <v/>
      </c>
      <c r="AZ9" s="37"/>
      <c r="BA9" s="37"/>
      <c r="BB9" s="37"/>
      <c r="BC9" s="38" t="str">
        <f ca="1">VLOOKUP(4,list,18,FALSE)</f>
        <v/>
      </c>
      <c r="BD9" s="39"/>
      <c r="BE9" s="39"/>
      <c r="BF9" s="39"/>
      <c r="BG9" s="40"/>
      <c r="BH9" s="37" t="str">
        <f ca="1">IF($AA$2="入れる",VLOOKUP(4,list,7,FALSE),"")</f>
        <v/>
      </c>
      <c r="BI9" s="37"/>
      <c r="BJ9" s="37"/>
      <c r="BK9" s="37"/>
      <c r="BL9" s="38" t="str">
        <f ca="1">VLOOKUP(3,list,18,FALSE)</f>
        <v>紙</v>
      </c>
      <c r="BM9" s="39"/>
      <c r="BN9" s="39"/>
      <c r="BO9" s="39"/>
      <c r="BP9" s="40"/>
      <c r="BQ9" s="37" t="str">
        <f ca="1">IF($AA$2="入れる",VLOOKUP(3,list,7,FALSE),"")</f>
        <v>し</v>
      </c>
      <c r="BR9" s="37"/>
      <c r="BS9" s="37"/>
      <c r="BT9" s="37"/>
      <c r="BU9" s="38" t="str">
        <f ca="1">VLOOKUP(2,list,18,FALSE)</f>
        <v>張</v>
      </c>
      <c r="BV9" s="39"/>
      <c r="BW9" s="39"/>
      <c r="BX9" s="39"/>
      <c r="BY9" s="40"/>
      <c r="BZ9" s="37" t="str">
        <f ca="1">IF($AA$2="入れる",VLOOKUP(2,list,7,FALSE),"")</f>
        <v>ちょう</v>
      </c>
      <c r="CA9" s="37"/>
      <c r="CB9" s="37"/>
      <c r="CC9" s="37"/>
      <c r="CD9" s="38" t="str">
        <f ca="1">VLOOKUP(1,list,18,FALSE)</f>
        <v>高</v>
      </c>
      <c r="CE9" s="39"/>
      <c r="CF9" s="39"/>
      <c r="CG9" s="39"/>
      <c r="CH9" s="40"/>
      <c r="CI9" s="37" t="str">
        <f ca="1">IF($AA$2="入れる",VLOOKUP(1,list,7,FALSE),"")</f>
        <v>たか</v>
      </c>
      <c r="CJ9" s="37"/>
      <c r="CK9" s="37"/>
      <c r="CL9" s="37"/>
      <c r="CM9" s="25"/>
      <c r="CN9" s="26"/>
      <c r="CO9" s="26"/>
      <c r="CP9" s="27"/>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row>
    <row r="10" spans="1:179" ht="52.5" customHeight="1" thickBot="1" x14ac:dyDescent="0.25">
      <c r="A10" s="38" t="str">
        <f ca="1">VLOOKUP(10,list,19,FALSE)</f>
        <v>く</v>
      </c>
      <c r="B10" s="39"/>
      <c r="C10" s="39"/>
      <c r="D10" s="39"/>
      <c r="E10" s="40"/>
      <c r="F10" s="37" t="str">
        <f ca="1">IF($AA$2="入れる",VLOOKUP(10,list,8,FALSE),"")</f>
        <v/>
      </c>
      <c r="G10" s="37"/>
      <c r="H10" s="37"/>
      <c r="I10" s="37"/>
      <c r="J10" s="38" t="str">
        <f ca="1">VLOOKUP(9,list,19,FALSE)</f>
        <v>写</v>
      </c>
      <c r="K10" s="39"/>
      <c r="L10" s="39"/>
      <c r="M10" s="39"/>
      <c r="N10" s="40"/>
      <c r="O10" s="37" t="str">
        <f ca="1">IF($AA$2="入れる",VLOOKUP(9,list,8,FALSE),"")</f>
        <v>しゃ</v>
      </c>
      <c r="P10" s="37"/>
      <c r="Q10" s="37"/>
      <c r="R10" s="37"/>
      <c r="S10" s="38" t="str">
        <f ca="1">VLOOKUP(8,list,19,FALSE)</f>
        <v/>
      </c>
      <c r="T10" s="39"/>
      <c r="U10" s="39"/>
      <c r="V10" s="39"/>
      <c r="W10" s="40"/>
      <c r="X10" s="37" t="str">
        <f ca="1">IF($AA$2="入れる",VLOOKUP(8,list,8,FALSE),"")</f>
        <v/>
      </c>
      <c r="Y10" s="37"/>
      <c r="Z10" s="37"/>
      <c r="AA10" s="37"/>
      <c r="AB10" s="38" t="str">
        <f ca="1">VLOOKUP(7,list,19,FALSE)</f>
        <v>る</v>
      </c>
      <c r="AC10" s="39"/>
      <c r="AD10" s="39"/>
      <c r="AE10" s="39"/>
      <c r="AF10" s="40"/>
      <c r="AG10" s="37" t="str">
        <f ca="1">IF($AA$2="入れる",VLOOKUP(7,list,8,FALSE),"")</f>
        <v/>
      </c>
      <c r="AH10" s="37"/>
      <c r="AI10" s="37"/>
      <c r="AJ10" s="37"/>
      <c r="AK10" s="38" t="str">
        <f ca="1">VLOOKUP(6,list,19,FALSE)</f>
        <v>す</v>
      </c>
      <c r="AL10" s="39"/>
      <c r="AM10" s="39"/>
      <c r="AN10" s="39"/>
      <c r="AO10" s="40"/>
      <c r="AP10" s="37" t="str">
        <f ca="1">IF($AA$2="入れる",VLOOKUP(6,list,8,FALSE),"")</f>
        <v/>
      </c>
      <c r="AQ10" s="37"/>
      <c r="AR10" s="37"/>
      <c r="AS10" s="37"/>
      <c r="AT10" s="38" t="str">
        <f ca="1">VLOOKUP(5,list,19,FALSE)</f>
        <v>会</v>
      </c>
      <c r="AU10" s="39"/>
      <c r="AV10" s="39"/>
      <c r="AW10" s="39"/>
      <c r="AX10" s="40"/>
      <c r="AY10" s="37" t="str">
        <f ca="1">IF($AA$2="入れる",VLOOKUP(5,list,8,FALSE),"")</f>
        <v>あ</v>
      </c>
      <c r="AZ10" s="37"/>
      <c r="BA10" s="37"/>
      <c r="BB10" s="37"/>
      <c r="BC10" s="38" t="str">
        <f ca="1">VLOOKUP(4,list,19,FALSE)</f>
        <v/>
      </c>
      <c r="BD10" s="39"/>
      <c r="BE10" s="39"/>
      <c r="BF10" s="39"/>
      <c r="BG10" s="40"/>
      <c r="BH10" s="37" t="str">
        <f ca="1">IF($AA$2="入れる",VLOOKUP(4,list,8,FALSE),"")</f>
        <v/>
      </c>
      <c r="BI10" s="37"/>
      <c r="BJ10" s="37"/>
      <c r="BK10" s="37"/>
      <c r="BL10" s="38" t="str">
        <f ca="1">VLOOKUP(3,list,19,FALSE)</f>
        <v/>
      </c>
      <c r="BM10" s="39"/>
      <c r="BN10" s="39"/>
      <c r="BO10" s="39"/>
      <c r="BP10" s="40"/>
      <c r="BQ10" s="37" t="str">
        <f ca="1">IF($AA$2="入れる",VLOOKUP(3,list,8,FALSE),"")</f>
        <v/>
      </c>
      <c r="BR10" s="37"/>
      <c r="BS10" s="37"/>
      <c r="BT10" s="37"/>
      <c r="BU10" s="38" t="str">
        <f ca="1">VLOOKUP(2,list,19,FALSE)</f>
        <v>す</v>
      </c>
      <c r="BV10" s="39"/>
      <c r="BW10" s="39"/>
      <c r="BX10" s="39"/>
      <c r="BY10" s="40"/>
      <c r="BZ10" s="37" t="str">
        <f ca="1">IF($AA$2="入れる",VLOOKUP(2,list,8,FALSE),"")</f>
        <v/>
      </c>
      <c r="CA10" s="37"/>
      <c r="CB10" s="37"/>
      <c r="CC10" s="37"/>
      <c r="CD10" s="38" t="str">
        <f ca="1">VLOOKUP(1,list,19,FALSE)</f>
        <v>め</v>
      </c>
      <c r="CE10" s="39"/>
      <c r="CF10" s="39"/>
      <c r="CG10" s="39"/>
      <c r="CH10" s="40"/>
      <c r="CI10" s="37" t="str">
        <f ca="1">IF($AA$2="入れる",VLOOKUP(1,list,8,FALSE),"")</f>
        <v/>
      </c>
      <c r="CJ10" s="37"/>
      <c r="CK10" s="37"/>
      <c r="CL10" s="37"/>
      <c r="CM10" s="25"/>
      <c r="CN10" s="26"/>
      <c r="CO10" s="26"/>
      <c r="CP10" s="27"/>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9"/>
      <c r="EQ10" s="19"/>
      <c r="ER10" s="19"/>
      <c r="ES10" s="19"/>
      <c r="ET10" s="19"/>
      <c r="EU10" s="19"/>
      <c r="EV10" s="19"/>
      <c r="EW10" s="19"/>
      <c r="EX10" s="19"/>
      <c r="EY10" s="19"/>
      <c r="EZ10" s="19"/>
      <c r="FA10" s="19"/>
      <c r="FB10" s="19"/>
      <c r="FC10" s="19"/>
      <c r="FD10" s="19"/>
      <c r="FE10" s="19"/>
      <c r="FF10" s="19"/>
      <c r="FG10" s="19"/>
      <c r="FH10" s="19"/>
      <c r="FI10" s="19"/>
      <c r="FJ10" s="19"/>
      <c r="FK10" s="19"/>
      <c r="FL10" s="19"/>
      <c r="FM10" s="19"/>
      <c r="FN10" s="19"/>
      <c r="FO10" s="19"/>
      <c r="FP10" s="19"/>
      <c r="FQ10" s="19"/>
      <c r="FR10" s="19"/>
      <c r="FS10" s="19"/>
      <c r="FT10" s="19"/>
      <c r="FU10" s="19"/>
      <c r="FV10" s="19"/>
      <c r="FW10" s="19"/>
    </row>
    <row r="11" spans="1:179" ht="52.5" customHeight="1" thickBot="1" x14ac:dyDescent="0.25">
      <c r="A11" s="38" t="str">
        <f ca="1">VLOOKUP(10,list,20,FALSE)</f>
        <v/>
      </c>
      <c r="B11" s="39"/>
      <c r="C11" s="39"/>
      <c r="D11" s="39"/>
      <c r="E11" s="40"/>
      <c r="F11" s="37" t="str">
        <f ca="1">IF($AA$2="入れる",VLOOKUP(10,list,9,FALSE),"")</f>
        <v/>
      </c>
      <c r="G11" s="37"/>
      <c r="H11" s="37"/>
      <c r="I11" s="37"/>
      <c r="J11" s="38" t="str">
        <f ca="1">VLOOKUP(9,list,20,FALSE)</f>
        <v>真</v>
      </c>
      <c r="K11" s="39"/>
      <c r="L11" s="39"/>
      <c r="M11" s="39"/>
      <c r="N11" s="40"/>
      <c r="O11" s="37" t="str">
        <f ca="1">IF($AA$2="入れる",VLOOKUP(9,list,9,FALSE),"")</f>
        <v>しん</v>
      </c>
      <c r="P11" s="37"/>
      <c r="Q11" s="37"/>
      <c r="R11" s="37"/>
      <c r="S11" s="38" t="str">
        <f ca="1">VLOOKUP(8,list,20,FALSE)</f>
        <v/>
      </c>
      <c r="T11" s="39"/>
      <c r="U11" s="39"/>
      <c r="V11" s="39"/>
      <c r="W11" s="40"/>
      <c r="X11" s="37" t="str">
        <f ca="1">IF($AA$2="入れる",VLOOKUP(8,list,9,FALSE),"")</f>
        <v/>
      </c>
      <c r="Y11" s="37"/>
      <c r="Z11" s="37"/>
      <c r="AA11" s="37"/>
      <c r="AB11" s="38" t="str">
        <f ca="1">VLOOKUP(7,list,20,FALSE)</f>
        <v/>
      </c>
      <c r="AC11" s="39"/>
      <c r="AD11" s="39"/>
      <c r="AE11" s="39"/>
      <c r="AF11" s="40"/>
      <c r="AG11" s="37" t="str">
        <f ca="1">IF($AA$2="入れる",VLOOKUP(7,list,9,FALSE),"")</f>
        <v/>
      </c>
      <c r="AH11" s="37"/>
      <c r="AI11" s="37"/>
      <c r="AJ11" s="37"/>
      <c r="AK11" s="38" t="str">
        <f ca="1">VLOOKUP(6,list,20,FALSE)</f>
        <v>る</v>
      </c>
      <c r="AL11" s="39"/>
      <c r="AM11" s="39"/>
      <c r="AN11" s="39"/>
      <c r="AO11" s="40"/>
      <c r="AP11" s="37" t="str">
        <f ca="1">IF($AA$2="入れる",VLOOKUP(6,list,9,FALSE),"")</f>
        <v/>
      </c>
      <c r="AQ11" s="37"/>
      <c r="AR11" s="37"/>
      <c r="AS11" s="37"/>
      <c r="AT11" s="38" t="str">
        <f ca="1">VLOOKUP(5,list,20,FALSE)</f>
        <v>う</v>
      </c>
      <c r="AU11" s="39"/>
      <c r="AV11" s="39"/>
      <c r="AW11" s="39"/>
      <c r="AX11" s="40"/>
      <c r="AY11" s="37" t="str">
        <f ca="1">IF($AA$2="入れる",VLOOKUP(5,list,9,FALSE),"")</f>
        <v/>
      </c>
      <c r="AZ11" s="37"/>
      <c r="BA11" s="37"/>
      <c r="BB11" s="37"/>
      <c r="BC11" s="38" t="str">
        <f ca="1">VLOOKUP(4,list,20,FALSE)</f>
        <v/>
      </c>
      <c r="BD11" s="39"/>
      <c r="BE11" s="39"/>
      <c r="BF11" s="39"/>
      <c r="BG11" s="40"/>
      <c r="BH11" s="37" t="str">
        <f ca="1">IF($AA$2="入れる",VLOOKUP(4,list,9,FALSE),"")</f>
        <v/>
      </c>
      <c r="BI11" s="37"/>
      <c r="BJ11" s="37"/>
      <c r="BK11" s="37"/>
      <c r="BL11" s="38" t="str">
        <f ca="1">VLOOKUP(3,list,20,FALSE)</f>
        <v/>
      </c>
      <c r="BM11" s="39"/>
      <c r="BN11" s="39"/>
      <c r="BO11" s="39"/>
      <c r="BP11" s="40"/>
      <c r="BQ11" s="37" t="str">
        <f ca="1">IF($AA$2="入れる",VLOOKUP(3,list,9,FALSE),"")</f>
        <v/>
      </c>
      <c r="BR11" s="37"/>
      <c r="BS11" s="37"/>
      <c r="BT11" s="37"/>
      <c r="BU11" s="38" t="str">
        <f ca="1">VLOOKUP(2,list,20,FALSE)</f>
        <v>る</v>
      </c>
      <c r="BV11" s="39"/>
      <c r="BW11" s="39"/>
      <c r="BX11" s="39"/>
      <c r="BY11" s="40"/>
      <c r="BZ11" s="37" t="str">
        <f ca="1">IF($AA$2="入れる",VLOOKUP(2,list,9,FALSE),"")</f>
        <v/>
      </c>
      <c r="CA11" s="37"/>
      <c r="CB11" s="37"/>
      <c r="CC11" s="37"/>
      <c r="CD11" s="38" t="str">
        <f ca="1">VLOOKUP(1,list,20,FALSE)</f>
        <v>る</v>
      </c>
      <c r="CE11" s="39"/>
      <c r="CF11" s="39"/>
      <c r="CG11" s="39"/>
      <c r="CH11" s="40"/>
      <c r="CI11" s="37" t="str">
        <f ca="1">IF($AA$2="入れる",VLOOKUP(1,list,9,FALSE),"")</f>
        <v/>
      </c>
      <c r="CJ11" s="37"/>
      <c r="CK11" s="37"/>
      <c r="CL11" s="37"/>
      <c r="CM11" s="25"/>
      <c r="CN11" s="26"/>
      <c r="CO11" s="26"/>
      <c r="CP11" s="27"/>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9"/>
      <c r="EQ11" s="19"/>
      <c r="ER11" s="19"/>
      <c r="ES11" s="19"/>
      <c r="ET11" s="19"/>
      <c r="EU11" s="19"/>
      <c r="EV11" s="19"/>
      <c r="EW11" s="19"/>
      <c r="EX11" s="19"/>
      <c r="EY11" s="19"/>
      <c r="EZ11" s="19"/>
      <c r="FA11" s="19"/>
      <c r="FB11" s="19"/>
      <c r="FC11" s="19"/>
      <c r="FD11" s="19"/>
      <c r="FE11" s="19"/>
      <c r="FF11" s="19"/>
      <c r="FG11" s="19"/>
      <c r="FH11" s="19"/>
      <c r="FI11" s="19"/>
      <c r="FJ11" s="19"/>
      <c r="FK11" s="19"/>
      <c r="FL11" s="19"/>
      <c r="FM11" s="19"/>
      <c r="FN11" s="19"/>
      <c r="FO11" s="19"/>
      <c r="FP11" s="19"/>
      <c r="FQ11" s="19"/>
      <c r="FR11" s="19"/>
      <c r="FS11" s="19"/>
      <c r="FT11" s="19"/>
      <c r="FU11" s="19"/>
      <c r="FV11" s="19"/>
      <c r="FW11" s="19"/>
    </row>
    <row r="12" spans="1:179" ht="52.5" customHeight="1" thickBot="1" x14ac:dyDescent="0.25">
      <c r="A12" s="38" t="str">
        <f ca="1">VLOOKUP(10,list,21,FALSE)</f>
        <v/>
      </c>
      <c r="B12" s="39"/>
      <c r="C12" s="39"/>
      <c r="D12" s="39"/>
      <c r="E12" s="40"/>
      <c r="F12" s="37" t="str">
        <f ca="1">IF($AA$2="入れる",VLOOKUP(10,list,10,FALSE),"")</f>
        <v/>
      </c>
      <c r="G12" s="37"/>
      <c r="H12" s="37"/>
      <c r="I12" s="37"/>
      <c r="J12" s="38" t="str">
        <f ca="1">VLOOKUP(9,list,21,FALSE)</f>
        <v/>
      </c>
      <c r="K12" s="39"/>
      <c r="L12" s="39"/>
      <c r="M12" s="39"/>
      <c r="N12" s="40"/>
      <c r="O12" s="37" t="str">
        <f ca="1">IF($AA$2="入れる",VLOOKUP(9,list,10,FALSE),"")</f>
        <v/>
      </c>
      <c r="P12" s="37"/>
      <c r="Q12" s="37"/>
      <c r="R12" s="37"/>
      <c r="S12" s="38" t="str">
        <f ca="1">VLOOKUP(8,list,21,FALSE)</f>
        <v/>
      </c>
      <c r="T12" s="39"/>
      <c r="U12" s="39"/>
      <c r="V12" s="39"/>
      <c r="W12" s="40"/>
      <c r="X12" s="37" t="str">
        <f ca="1">IF($AA$2="入れる",VLOOKUP(8,list,10,FALSE),"")</f>
        <v/>
      </c>
      <c r="Y12" s="37"/>
      <c r="Z12" s="37"/>
      <c r="AA12" s="37"/>
      <c r="AB12" s="38" t="str">
        <f ca="1">VLOOKUP(7,list,21,FALSE)</f>
        <v/>
      </c>
      <c r="AC12" s="39"/>
      <c r="AD12" s="39"/>
      <c r="AE12" s="39"/>
      <c r="AF12" s="40"/>
      <c r="AG12" s="37" t="str">
        <f ca="1">IF($AA$2="入れる",VLOOKUP(7,list,10,FALSE),"")</f>
        <v/>
      </c>
      <c r="AH12" s="37"/>
      <c r="AI12" s="37"/>
      <c r="AJ12" s="37"/>
      <c r="AK12" s="38" t="str">
        <f ca="1">VLOOKUP(6,list,21,FALSE)</f>
        <v/>
      </c>
      <c r="AL12" s="39"/>
      <c r="AM12" s="39"/>
      <c r="AN12" s="39"/>
      <c r="AO12" s="40"/>
      <c r="AP12" s="37" t="str">
        <f ca="1">IF($AA$2="入れる",VLOOKUP(6,list,10,FALSE),"")</f>
        <v/>
      </c>
      <c r="AQ12" s="37"/>
      <c r="AR12" s="37"/>
      <c r="AS12" s="37"/>
      <c r="AT12" s="38" t="str">
        <f ca="1">VLOOKUP(5,list,21,FALSE)</f>
        <v/>
      </c>
      <c r="AU12" s="39"/>
      <c r="AV12" s="39"/>
      <c r="AW12" s="39"/>
      <c r="AX12" s="40"/>
      <c r="AY12" s="37" t="str">
        <f ca="1">IF($AA$2="入れる",VLOOKUP(5,list,10,FALSE),"")</f>
        <v/>
      </c>
      <c r="AZ12" s="37"/>
      <c r="BA12" s="37"/>
      <c r="BB12" s="37"/>
      <c r="BC12" s="38" t="str">
        <f ca="1">VLOOKUP(4,list,21,FALSE)</f>
        <v/>
      </c>
      <c r="BD12" s="39"/>
      <c r="BE12" s="39"/>
      <c r="BF12" s="39"/>
      <c r="BG12" s="40"/>
      <c r="BH12" s="37" t="str">
        <f ca="1">IF($AA$2="入れる",VLOOKUP(4,list,10,FALSE),"")</f>
        <v/>
      </c>
      <c r="BI12" s="37"/>
      <c r="BJ12" s="37"/>
      <c r="BK12" s="37"/>
      <c r="BL12" s="38" t="str">
        <f ca="1">VLOOKUP(3,list,21,FALSE)</f>
        <v/>
      </c>
      <c r="BM12" s="39"/>
      <c r="BN12" s="39"/>
      <c r="BO12" s="39"/>
      <c r="BP12" s="40"/>
      <c r="BQ12" s="37" t="str">
        <f ca="1">IF($AA$2="入れる",VLOOKUP(3,list,10,FALSE),"")</f>
        <v/>
      </c>
      <c r="BR12" s="37"/>
      <c r="BS12" s="37"/>
      <c r="BT12" s="37"/>
      <c r="BU12" s="38" t="str">
        <f ca="1">VLOOKUP(2,list,21,FALSE)</f>
        <v/>
      </c>
      <c r="BV12" s="39"/>
      <c r="BW12" s="39"/>
      <c r="BX12" s="39"/>
      <c r="BY12" s="40"/>
      <c r="BZ12" s="37" t="str">
        <f ca="1">IF($AA$2="入れる",VLOOKUP(2,list,10,FALSE),"")</f>
        <v/>
      </c>
      <c r="CA12" s="37"/>
      <c r="CB12" s="37"/>
      <c r="CC12" s="37"/>
      <c r="CD12" s="38" t="str">
        <f ca="1">VLOOKUP(1,list,21,FALSE)</f>
        <v/>
      </c>
      <c r="CE12" s="39"/>
      <c r="CF12" s="39"/>
      <c r="CG12" s="39"/>
      <c r="CH12" s="40"/>
      <c r="CI12" s="37" t="str">
        <f ca="1">IF($AA$2="入れる",VLOOKUP(1,list,10,FALSE),"")</f>
        <v/>
      </c>
      <c r="CJ12" s="37"/>
      <c r="CK12" s="37"/>
      <c r="CL12" s="37"/>
      <c r="CM12" s="25"/>
      <c r="CN12" s="26"/>
      <c r="CO12" s="26"/>
      <c r="CP12" s="27"/>
      <c r="CQ12" s="19"/>
      <c r="CR12" s="19"/>
      <c r="CS12" s="19"/>
      <c r="CT12" s="19"/>
      <c r="CU12" s="19"/>
      <c r="CV12" s="19"/>
      <c r="CW12" s="19"/>
      <c r="CX12" s="17"/>
      <c r="CY12" s="19"/>
      <c r="CZ12" s="19"/>
      <c r="DA12" s="19"/>
      <c r="DB12" s="19"/>
      <c r="DC12" s="19"/>
      <c r="DD12" s="19"/>
      <c r="DE12" s="1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9"/>
      <c r="EQ12" s="19"/>
      <c r="ER12" s="19"/>
      <c r="ES12" s="19"/>
      <c r="ET12" s="19"/>
      <c r="EU12" s="19"/>
      <c r="EV12" s="19"/>
      <c r="EW12" s="19"/>
      <c r="EX12" s="19"/>
      <c r="EY12" s="19"/>
      <c r="EZ12" s="19"/>
      <c r="FA12" s="19"/>
      <c r="FB12" s="19"/>
      <c r="FC12" s="19"/>
      <c r="FD12" s="19"/>
      <c r="FE12" s="19"/>
      <c r="FF12" s="19"/>
      <c r="FG12" s="19"/>
      <c r="FH12" s="19"/>
      <c r="FI12" s="19"/>
      <c r="FJ12" s="19"/>
      <c r="FK12" s="19"/>
      <c r="FL12" s="19"/>
      <c r="FM12" s="19"/>
      <c r="FN12" s="19"/>
      <c r="FO12" s="19"/>
      <c r="FP12" s="19"/>
      <c r="FQ12" s="19"/>
      <c r="FR12" s="19"/>
      <c r="FS12" s="19"/>
      <c r="FT12" s="19"/>
      <c r="FU12" s="19"/>
      <c r="FV12" s="19"/>
      <c r="FW12" s="19"/>
    </row>
    <row r="13" spans="1:179" ht="52.5" customHeight="1" thickBot="1" x14ac:dyDescent="0.25">
      <c r="A13" s="38" t="str">
        <f ca="1">VLOOKUP(10,list,22,FALSE)</f>
        <v/>
      </c>
      <c r="B13" s="39"/>
      <c r="C13" s="39"/>
      <c r="D13" s="39"/>
      <c r="E13" s="40"/>
      <c r="F13" s="37" t="str">
        <f ca="1">IF($AA$2="入れる",VLOOKUP(10,list,11,FALSE),"")</f>
        <v/>
      </c>
      <c r="G13" s="37"/>
      <c r="H13" s="37"/>
      <c r="I13" s="37"/>
      <c r="J13" s="38" t="str">
        <f ca="1">VLOOKUP(9,list,22,FALSE)</f>
        <v/>
      </c>
      <c r="K13" s="39"/>
      <c r="L13" s="39"/>
      <c r="M13" s="39"/>
      <c r="N13" s="40"/>
      <c r="O13" s="37" t="str">
        <f ca="1">IF($AA$2="入れる",VLOOKUP(9,list,11,FALSE),"")</f>
        <v/>
      </c>
      <c r="P13" s="37"/>
      <c r="Q13" s="37"/>
      <c r="R13" s="37"/>
      <c r="S13" s="38" t="str">
        <f ca="1">VLOOKUP(8,list,22,FALSE)</f>
        <v/>
      </c>
      <c r="T13" s="39"/>
      <c r="U13" s="39"/>
      <c r="V13" s="39"/>
      <c r="W13" s="40"/>
      <c r="X13" s="37" t="str">
        <f ca="1">IF($AA$2="入れる",VLOOKUP(8,list,11,FALSE),"")</f>
        <v/>
      </c>
      <c r="Y13" s="37"/>
      <c r="Z13" s="37"/>
      <c r="AA13" s="37"/>
      <c r="AB13" s="38" t="str">
        <f ca="1">VLOOKUP(7,list,22,FALSE)</f>
        <v/>
      </c>
      <c r="AC13" s="39"/>
      <c r="AD13" s="39"/>
      <c r="AE13" s="39"/>
      <c r="AF13" s="40"/>
      <c r="AG13" s="37" t="str">
        <f ca="1">IF($AA$2="入れる",VLOOKUP(7,list,11,FALSE),"")</f>
        <v/>
      </c>
      <c r="AH13" s="37"/>
      <c r="AI13" s="37"/>
      <c r="AJ13" s="37"/>
      <c r="AK13" s="38" t="str">
        <f ca="1">VLOOKUP(6,list,22,FALSE)</f>
        <v/>
      </c>
      <c r="AL13" s="39"/>
      <c r="AM13" s="39"/>
      <c r="AN13" s="39"/>
      <c r="AO13" s="40"/>
      <c r="AP13" s="37" t="str">
        <f ca="1">IF($AA$2="入れる",VLOOKUP(6,list,11,FALSE),"")</f>
        <v/>
      </c>
      <c r="AQ13" s="37"/>
      <c r="AR13" s="37"/>
      <c r="AS13" s="37"/>
      <c r="AT13" s="38" t="str">
        <f ca="1">VLOOKUP(5,list,22,FALSE)</f>
        <v/>
      </c>
      <c r="AU13" s="39"/>
      <c r="AV13" s="39"/>
      <c r="AW13" s="39"/>
      <c r="AX13" s="40"/>
      <c r="AY13" s="37" t="str">
        <f ca="1">IF($AA$2="入れる",VLOOKUP(5,list,11,FALSE),"")</f>
        <v/>
      </c>
      <c r="AZ13" s="37"/>
      <c r="BA13" s="37"/>
      <c r="BB13" s="37"/>
      <c r="BC13" s="38" t="str">
        <f ca="1">VLOOKUP(4,list,22,FALSE)</f>
        <v/>
      </c>
      <c r="BD13" s="39"/>
      <c r="BE13" s="39"/>
      <c r="BF13" s="39"/>
      <c r="BG13" s="40"/>
      <c r="BH13" s="37" t="str">
        <f ca="1">IF($AA$2="入れる",VLOOKUP(4,list,11,FALSE),"")</f>
        <v/>
      </c>
      <c r="BI13" s="37"/>
      <c r="BJ13" s="37"/>
      <c r="BK13" s="37"/>
      <c r="BL13" s="38" t="str">
        <f ca="1">VLOOKUP(3,list,22,FALSE)</f>
        <v/>
      </c>
      <c r="BM13" s="39"/>
      <c r="BN13" s="39"/>
      <c r="BO13" s="39"/>
      <c r="BP13" s="40"/>
      <c r="BQ13" s="37" t="str">
        <f ca="1">IF($AA$2="入れる",VLOOKUP(3,list,11,FALSE),"")</f>
        <v/>
      </c>
      <c r="BR13" s="37"/>
      <c r="BS13" s="37"/>
      <c r="BT13" s="37"/>
      <c r="BU13" s="38" t="str">
        <f ca="1">VLOOKUP(2,list,22,FALSE)</f>
        <v/>
      </c>
      <c r="BV13" s="39"/>
      <c r="BW13" s="39"/>
      <c r="BX13" s="39"/>
      <c r="BY13" s="40"/>
      <c r="BZ13" s="37" t="str">
        <f ca="1">IF($AA$2="入れる",VLOOKUP(2,list,11,FALSE),"")</f>
        <v/>
      </c>
      <c r="CA13" s="37"/>
      <c r="CB13" s="37"/>
      <c r="CC13" s="37"/>
      <c r="CD13" s="38" t="str">
        <f ca="1">VLOOKUP(1,list,22,FALSE)</f>
        <v/>
      </c>
      <c r="CE13" s="39"/>
      <c r="CF13" s="39"/>
      <c r="CG13" s="39"/>
      <c r="CH13" s="40"/>
      <c r="CI13" s="37" t="str">
        <f ca="1">IF($AA$2="入れる",VLOOKUP(1,list,11,FALSE),"")</f>
        <v/>
      </c>
      <c r="CJ13" s="37"/>
      <c r="CK13" s="37"/>
      <c r="CL13" s="37"/>
      <c r="CM13" s="25"/>
      <c r="CN13" s="26"/>
      <c r="CO13" s="26"/>
      <c r="CP13" s="27"/>
      <c r="CQ13" s="19"/>
      <c r="CR13" s="19"/>
      <c r="CS13" s="19"/>
      <c r="CT13" s="19"/>
      <c r="CU13" s="19"/>
      <c r="CV13" s="19"/>
      <c r="CW13" s="19"/>
      <c r="CX13" s="21"/>
      <c r="CY13" s="19"/>
      <c r="CZ13" s="19"/>
      <c r="DA13" s="19"/>
      <c r="DB13" s="19"/>
      <c r="DC13" s="19"/>
      <c r="DD13" s="19"/>
      <c r="DE13" s="19"/>
      <c r="DF13" s="19"/>
      <c r="DG13" s="19"/>
      <c r="DH13" s="19"/>
      <c r="DI13" s="19"/>
      <c r="DJ13" s="19"/>
      <c r="DK13" s="19"/>
      <c r="DL13" s="19"/>
      <c r="DM13" s="19"/>
      <c r="DN13" s="19"/>
      <c r="DO13" s="19"/>
      <c r="DP13" s="19"/>
      <c r="DQ13" s="19"/>
      <c r="DR13" s="19"/>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9"/>
      <c r="EQ13" s="19"/>
      <c r="ER13" s="19"/>
      <c r="ES13" s="19"/>
      <c r="ET13" s="19"/>
      <c r="EU13" s="19"/>
      <c r="EV13" s="19"/>
      <c r="EW13" s="19"/>
      <c r="EX13" s="19"/>
      <c r="EY13" s="19"/>
      <c r="EZ13" s="19"/>
      <c r="FA13" s="19"/>
      <c r="FB13" s="19"/>
      <c r="FC13" s="19"/>
      <c r="FD13" s="19"/>
      <c r="FE13" s="19"/>
      <c r="FF13" s="19"/>
      <c r="FG13" s="19"/>
      <c r="FH13" s="19"/>
      <c r="FI13" s="19"/>
      <c r="FJ13" s="19"/>
      <c r="FK13" s="19"/>
      <c r="FL13" s="19"/>
      <c r="FM13" s="19"/>
      <c r="FN13" s="19"/>
      <c r="FO13" s="19"/>
      <c r="FP13" s="19"/>
      <c r="FQ13" s="19"/>
      <c r="FR13" s="19"/>
      <c r="FS13" s="19"/>
      <c r="FT13" s="19"/>
      <c r="FU13" s="19"/>
      <c r="FV13" s="19"/>
      <c r="FW13" s="19"/>
    </row>
    <row r="14" spans="1:179" ht="52.5" customHeight="1" thickBot="1" x14ac:dyDescent="0.25">
      <c r="A14" s="38" t="str">
        <f ca="1">VLOOKUP(10,list,23,FALSE)</f>
        <v/>
      </c>
      <c r="B14" s="39"/>
      <c r="C14" s="39"/>
      <c r="D14" s="39"/>
      <c r="E14" s="40"/>
      <c r="F14" s="37" t="str">
        <f ca="1">IF($AA$2="入れる",VLOOKUP(10,list,12,FALSE),"")</f>
        <v/>
      </c>
      <c r="G14" s="37"/>
      <c r="H14" s="37"/>
      <c r="I14" s="37"/>
      <c r="J14" s="38" t="str">
        <f ca="1">VLOOKUP(9,list,23,FALSE)</f>
        <v/>
      </c>
      <c r="K14" s="39"/>
      <c r="L14" s="39"/>
      <c r="M14" s="39"/>
      <c r="N14" s="40"/>
      <c r="O14" s="37" t="str">
        <f ca="1">IF($AA$2="入れる",VLOOKUP(9,list,12,FALSE),"")</f>
        <v/>
      </c>
      <c r="P14" s="37"/>
      <c r="Q14" s="37"/>
      <c r="R14" s="37"/>
      <c r="S14" s="38" t="str">
        <f ca="1">VLOOKUP(8,list,23,FALSE)</f>
        <v/>
      </c>
      <c r="T14" s="39"/>
      <c r="U14" s="39"/>
      <c r="V14" s="39"/>
      <c r="W14" s="40"/>
      <c r="X14" s="37" t="str">
        <f ca="1">IF($AA$2="入れる",VLOOKUP(8,list,12,FALSE),"")</f>
        <v/>
      </c>
      <c r="Y14" s="37"/>
      <c r="Z14" s="37"/>
      <c r="AA14" s="37"/>
      <c r="AB14" s="38" t="str">
        <f ca="1">VLOOKUP(7,list,23,FALSE)</f>
        <v/>
      </c>
      <c r="AC14" s="39"/>
      <c r="AD14" s="39"/>
      <c r="AE14" s="39"/>
      <c r="AF14" s="40"/>
      <c r="AG14" s="37" t="str">
        <f ca="1">IF($AA$2="入れる",VLOOKUP(7,list,12,FALSE),"")</f>
        <v/>
      </c>
      <c r="AH14" s="37"/>
      <c r="AI14" s="37"/>
      <c r="AJ14" s="37"/>
      <c r="AK14" s="38" t="str">
        <f ca="1">VLOOKUP(6,list,23,FALSE)</f>
        <v/>
      </c>
      <c r="AL14" s="39"/>
      <c r="AM14" s="39"/>
      <c r="AN14" s="39"/>
      <c r="AO14" s="40"/>
      <c r="AP14" s="37" t="str">
        <f ca="1">IF($AA$2="入れる",VLOOKUP(6,list,12,FALSE),"")</f>
        <v/>
      </c>
      <c r="AQ14" s="37"/>
      <c r="AR14" s="37"/>
      <c r="AS14" s="37"/>
      <c r="AT14" s="38" t="str">
        <f ca="1">VLOOKUP(5,list,23,FALSE)</f>
        <v/>
      </c>
      <c r="AU14" s="39"/>
      <c r="AV14" s="39"/>
      <c r="AW14" s="39"/>
      <c r="AX14" s="40"/>
      <c r="AY14" s="37" t="str">
        <f ca="1">IF($AA$2="入れる",VLOOKUP(5,list,12,FALSE),"")</f>
        <v/>
      </c>
      <c r="AZ14" s="37"/>
      <c r="BA14" s="37"/>
      <c r="BB14" s="37"/>
      <c r="BC14" s="38" t="str">
        <f ca="1">VLOOKUP(4,list,23,FALSE)</f>
        <v/>
      </c>
      <c r="BD14" s="39"/>
      <c r="BE14" s="39"/>
      <c r="BF14" s="39"/>
      <c r="BG14" s="40"/>
      <c r="BH14" s="37" t="str">
        <f ca="1">IF($AA$2="入れる",VLOOKUP(4,list,12,FALSE),"")</f>
        <v/>
      </c>
      <c r="BI14" s="37"/>
      <c r="BJ14" s="37"/>
      <c r="BK14" s="37"/>
      <c r="BL14" s="38" t="str">
        <f ca="1">VLOOKUP(3,list,23,FALSE)</f>
        <v/>
      </c>
      <c r="BM14" s="39"/>
      <c r="BN14" s="39"/>
      <c r="BO14" s="39"/>
      <c r="BP14" s="40"/>
      <c r="BQ14" s="37" t="str">
        <f ca="1">IF($AA$2="入れる",VLOOKUP(3,list,12,FALSE),"")</f>
        <v/>
      </c>
      <c r="BR14" s="37"/>
      <c r="BS14" s="37"/>
      <c r="BT14" s="37"/>
      <c r="BU14" s="38" t="str">
        <f ca="1">VLOOKUP(2,list,23,FALSE)</f>
        <v/>
      </c>
      <c r="BV14" s="39"/>
      <c r="BW14" s="39"/>
      <c r="BX14" s="39"/>
      <c r="BY14" s="40"/>
      <c r="BZ14" s="37" t="str">
        <f ca="1">IF($AA$2="入れる",VLOOKUP(2,list,12,FALSE),"")</f>
        <v/>
      </c>
      <c r="CA14" s="37"/>
      <c r="CB14" s="37"/>
      <c r="CC14" s="37"/>
      <c r="CD14" s="38" t="str">
        <f ca="1">VLOOKUP(1,list,23,FALSE)</f>
        <v/>
      </c>
      <c r="CE14" s="39"/>
      <c r="CF14" s="39"/>
      <c r="CG14" s="39"/>
      <c r="CH14" s="40"/>
      <c r="CI14" s="37" t="str">
        <f ca="1">IF($AA$2="入れる",VLOOKUP(1,list,12,FALSE),"")</f>
        <v/>
      </c>
      <c r="CJ14" s="37"/>
      <c r="CK14" s="37"/>
      <c r="CL14" s="37"/>
      <c r="CM14" s="25"/>
      <c r="CN14" s="26"/>
      <c r="CO14" s="26"/>
      <c r="CP14" s="27"/>
      <c r="CQ14" s="19"/>
      <c r="CR14" s="19"/>
      <c r="CS14" s="19"/>
      <c r="CT14" s="19"/>
      <c r="CU14" s="19"/>
      <c r="CV14" s="19"/>
      <c r="CW14" s="19"/>
      <c r="CX14" s="21"/>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9"/>
      <c r="EQ14" s="19"/>
      <c r="ER14" s="19"/>
      <c r="ES14" s="19"/>
      <c r="ET14" s="19"/>
      <c r="EU14" s="19"/>
      <c r="EV14" s="19"/>
      <c r="EW14" s="19"/>
      <c r="EX14" s="19"/>
      <c r="EY14" s="19"/>
      <c r="EZ14" s="19"/>
      <c r="FA14" s="19"/>
      <c r="FB14" s="19"/>
      <c r="FC14" s="19"/>
      <c r="FD14" s="19"/>
      <c r="FE14" s="19"/>
      <c r="FF14" s="19"/>
      <c r="FG14" s="19"/>
      <c r="FH14" s="19"/>
      <c r="FI14" s="19"/>
      <c r="FJ14" s="19"/>
      <c r="FK14" s="19"/>
      <c r="FL14" s="19"/>
      <c r="FM14" s="19"/>
      <c r="FN14" s="19"/>
      <c r="FO14" s="19"/>
      <c r="FP14" s="19"/>
      <c r="FQ14" s="19"/>
      <c r="FR14" s="19"/>
      <c r="FS14" s="19"/>
      <c r="FT14" s="19"/>
      <c r="FU14" s="19"/>
      <c r="FV14" s="19"/>
      <c r="FW14" s="19"/>
    </row>
    <row r="15" spans="1:179" ht="52.5" customHeight="1" thickBot="1" x14ac:dyDescent="0.25">
      <c r="A15" s="38" t="str">
        <f ca="1">VLOOKUP(10,list,24,FALSE)</f>
        <v/>
      </c>
      <c r="B15" s="39"/>
      <c r="C15" s="39"/>
      <c r="D15" s="39"/>
      <c r="E15" s="40"/>
      <c r="F15" s="37" t="str">
        <f ca="1">IF($AA$2="入れる",VLOOKUP(10,list,13,FALSE),"")</f>
        <v/>
      </c>
      <c r="G15" s="37"/>
      <c r="H15" s="37"/>
      <c r="I15" s="37"/>
      <c r="J15" s="38" t="str">
        <f ca="1">VLOOKUP(9,list,24,FALSE)</f>
        <v/>
      </c>
      <c r="K15" s="39"/>
      <c r="L15" s="39"/>
      <c r="M15" s="39"/>
      <c r="N15" s="40"/>
      <c r="O15" s="37" t="str">
        <f ca="1">IF($AA$2="入れる",VLOOKUP(9,list,13,FALSE),"")</f>
        <v/>
      </c>
      <c r="P15" s="37"/>
      <c r="Q15" s="37"/>
      <c r="R15" s="37"/>
      <c r="S15" s="38" t="str">
        <f ca="1">VLOOKUP(8,list,24,FALSE)</f>
        <v/>
      </c>
      <c r="T15" s="39"/>
      <c r="U15" s="39"/>
      <c r="V15" s="39"/>
      <c r="W15" s="40"/>
      <c r="X15" s="37" t="str">
        <f ca="1">IF($AA$2="入れる",VLOOKUP(8,list,13,FALSE),"")</f>
        <v/>
      </c>
      <c r="Y15" s="37"/>
      <c r="Z15" s="37"/>
      <c r="AA15" s="37"/>
      <c r="AB15" s="38" t="str">
        <f ca="1">VLOOKUP(7,list,24,FALSE)</f>
        <v/>
      </c>
      <c r="AC15" s="39"/>
      <c r="AD15" s="39"/>
      <c r="AE15" s="39"/>
      <c r="AF15" s="40"/>
      <c r="AG15" s="37" t="str">
        <f ca="1">IF($AA$2="入れる",VLOOKUP(7,list,13,FALSE),"")</f>
        <v/>
      </c>
      <c r="AH15" s="37"/>
      <c r="AI15" s="37"/>
      <c r="AJ15" s="37"/>
      <c r="AK15" s="38" t="str">
        <f ca="1">VLOOKUP(6,list,24,FALSE)</f>
        <v/>
      </c>
      <c r="AL15" s="39"/>
      <c r="AM15" s="39"/>
      <c r="AN15" s="39"/>
      <c r="AO15" s="40"/>
      <c r="AP15" s="37" t="str">
        <f ca="1">IF($AA$2="入れる",VLOOKUP(6,list,13,FALSE),"")</f>
        <v/>
      </c>
      <c r="AQ15" s="37"/>
      <c r="AR15" s="37"/>
      <c r="AS15" s="37"/>
      <c r="AT15" s="38" t="str">
        <f ca="1">VLOOKUP(5,list,24,FALSE)</f>
        <v/>
      </c>
      <c r="AU15" s="39"/>
      <c r="AV15" s="39"/>
      <c r="AW15" s="39"/>
      <c r="AX15" s="40"/>
      <c r="AY15" s="37" t="str">
        <f ca="1">IF($AA$2="入れる",VLOOKUP(5,list,13,FALSE),"")</f>
        <v/>
      </c>
      <c r="AZ15" s="37"/>
      <c r="BA15" s="37"/>
      <c r="BB15" s="37"/>
      <c r="BC15" s="38" t="str">
        <f ca="1">VLOOKUP(4,list,24,FALSE)</f>
        <v/>
      </c>
      <c r="BD15" s="39"/>
      <c r="BE15" s="39"/>
      <c r="BF15" s="39"/>
      <c r="BG15" s="40"/>
      <c r="BH15" s="37" t="str">
        <f ca="1">IF($AA$2="入れる",VLOOKUP(4,list,13,FALSE),"")</f>
        <v/>
      </c>
      <c r="BI15" s="37"/>
      <c r="BJ15" s="37"/>
      <c r="BK15" s="37"/>
      <c r="BL15" s="38" t="str">
        <f ca="1">VLOOKUP(3,list,24,FALSE)</f>
        <v/>
      </c>
      <c r="BM15" s="39"/>
      <c r="BN15" s="39"/>
      <c r="BO15" s="39"/>
      <c r="BP15" s="40"/>
      <c r="BQ15" s="37" t="str">
        <f ca="1">IF($AA$2="入れる",VLOOKUP(3,list,13,FALSE),"")</f>
        <v/>
      </c>
      <c r="BR15" s="37"/>
      <c r="BS15" s="37"/>
      <c r="BT15" s="37"/>
      <c r="BU15" s="38" t="str">
        <f ca="1">VLOOKUP(2,list,24,FALSE)</f>
        <v/>
      </c>
      <c r="BV15" s="39"/>
      <c r="BW15" s="39"/>
      <c r="BX15" s="39"/>
      <c r="BY15" s="40"/>
      <c r="BZ15" s="37" t="str">
        <f ca="1">IF($AA$2="入れる",VLOOKUP(2,list,13,FALSE),"")</f>
        <v/>
      </c>
      <c r="CA15" s="37"/>
      <c r="CB15" s="37"/>
      <c r="CC15" s="37"/>
      <c r="CD15" s="38" t="str">
        <f ca="1">VLOOKUP(1,list,24,FALSE)</f>
        <v/>
      </c>
      <c r="CE15" s="39"/>
      <c r="CF15" s="39"/>
      <c r="CG15" s="39"/>
      <c r="CH15" s="40"/>
      <c r="CI15" s="37" t="str">
        <f ca="1">IF($AA$2="入れる",VLOOKUP(1,list,13,FALSE),"")</f>
        <v/>
      </c>
      <c r="CJ15" s="37"/>
      <c r="CK15" s="37"/>
      <c r="CL15" s="37"/>
      <c r="CM15" s="28" t="s">
        <v>12</v>
      </c>
      <c r="CN15" s="29"/>
      <c r="CO15" s="29"/>
      <c r="CP15" s="30"/>
      <c r="CQ15" s="19"/>
      <c r="CR15" s="19"/>
      <c r="CS15" s="19"/>
      <c r="CT15" s="19"/>
      <c r="CU15" s="19"/>
      <c r="CV15" s="19"/>
      <c r="CW15" s="19"/>
      <c r="CX15" s="21"/>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9"/>
      <c r="EQ15" s="19"/>
      <c r="ER15" s="19"/>
      <c r="ES15" s="19"/>
      <c r="ET15" s="19"/>
      <c r="EU15" s="19"/>
      <c r="EV15" s="19"/>
      <c r="EW15" s="19"/>
      <c r="EX15" s="19"/>
      <c r="EY15" s="19"/>
      <c r="EZ15" s="19"/>
      <c r="FA15" s="19"/>
      <c r="FB15" s="19"/>
      <c r="FC15" s="19"/>
      <c r="FD15" s="19"/>
      <c r="FE15" s="19"/>
      <c r="FF15" s="19"/>
      <c r="FG15" s="19"/>
      <c r="FH15" s="19"/>
      <c r="FI15" s="19"/>
      <c r="FJ15" s="19"/>
      <c r="FK15" s="19"/>
      <c r="FL15" s="19"/>
      <c r="FM15" s="19"/>
      <c r="FN15" s="19"/>
      <c r="FO15" s="19"/>
      <c r="FP15" s="19"/>
      <c r="FQ15" s="19"/>
      <c r="FR15" s="19"/>
      <c r="FS15" s="19"/>
      <c r="FT15" s="19"/>
      <c r="FU15" s="19"/>
      <c r="FV15" s="19"/>
      <c r="FW15" s="19"/>
    </row>
    <row r="16" spans="1:179" ht="18.5" x14ac:dyDescent="0.2">
      <c r="A16" s="52"/>
      <c r="B16" s="52"/>
      <c r="C16" s="52"/>
      <c r="D16" s="52"/>
      <c r="E16" s="52"/>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6"/>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9"/>
      <c r="EQ16" s="19"/>
      <c r="ER16" s="19"/>
      <c r="ES16" s="19"/>
      <c r="ET16" s="19"/>
      <c r="EU16" s="19"/>
      <c r="EV16" s="19"/>
      <c r="EW16" s="19"/>
      <c r="EX16" s="19"/>
      <c r="EY16" s="19"/>
      <c r="EZ16" s="19"/>
      <c r="FA16" s="19"/>
      <c r="FB16" s="19"/>
      <c r="FC16" s="19"/>
      <c r="FD16" s="19"/>
      <c r="FE16" s="19"/>
      <c r="FF16" s="19"/>
      <c r="FG16" s="19"/>
      <c r="FH16" s="19"/>
      <c r="FI16" s="19"/>
      <c r="FJ16" s="19"/>
      <c r="FK16" s="19"/>
      <c r="FL16" s="19"/>
      <c r="FM16" s="19"/>
      <c r="FN16" s="19"/>
      <c r="FO16" s="19"/>
      <c r="FP16" s="19"/>
      <c r="FQ16" s="19"/>
      <c r="FR16" s="19"/>
      <c r="FS16" s="19"/>
      <c r="FT16" s="19"/>
      <c r="FU16" s="19"/>
      <c r="FV16" s="19"/>
      <c r="FW16" s="19"/>
    </row>
    <row r="17" spans="102:108" ht="21" x14ac:dyDescent="0.2">
      <c r="CX17" s="21"/>
      <c r="CY17" s="19"/>
      <c r="CZ17" s="19"/>
      <c r="DA17" s="19"/>
      <c r="DB17" s="19"/>
      <c r="DC17" s="19"/>
      <c r="DD17" s="19"/>
    </row>
    <row r="21" spans="102:108" ht="28.5" x14ac:dyDescent="0.2">
      <c r="CX21" s="19"/>
      <c r="CY21" s="19"/>
      <c r="CZ21" s="19"/>
      <c r="DA21" s="19"/>
      <c r="DB21" s="19"/>
      <c r="DC21" s="19"/>
      <c r="DD21" s="17"/>
    </row>
    <row r="22" spans="102:108" ht="28.5" x14ac:dyDescent="0.2">
      <c r="CX22" s="19"/>
      <c r="CY22" s="19"/>
      <c r="CZ22" s="19"/>
      <c r="DA22" s="19"/>
      <c r="DB22" s="19"/>
      <c r="DC22" s="19"/>
      <c r="DD22" s="17"/>
    </row>
    <row r="23" spans="102:108" ht="28.5" x14ac:dyDescent="0.2">
      <c r="CX23" s="19"/>
      <c r="CY23" s="19"/>
      <c r="CZ23" s="19"/>
      <c r="DA23" s="19"/>
      <c r="DB23" s="19"/>
      <c r="DC23" s="19"/>
      <c r="DD23" s="17"/>
    </row>
    <row r="24" spans="102:108" ht="28.5" x14ac:dyDescent="0.2">
      <c r="CX24" s="19"/>
      <c r="CY24" s="19"/>
      <c r="CZ24" s="19"/>
      <c r="DA24" s="19"/>
      <c r="DB24" s="19"/>
      <c r="DC24" s="19"/>
      <c r="DD24" s="17"/>
    </row>
    <row r="25" spans="102:108" ht="28.5" x14ac:dyDescent="0.2">
      <c r="CX25" s="19"/>
      <c r="CY25" s="19"/>
      <c r="CZ25" s="19"/>
      <c r="DA25" s="19"/>
      <c r="DB25" s="19"/>
      <c r="DC25" s="19"/>
      <c r="DD25" s="17"/>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L28" sqref="L28"/>
    </sheetView>
  </sheetViews>
  <sheetFormatPr defaultColWidth="9" defaultRowHeight="16" x14ac:dyDescent="0.2"/>
  <cols>
    <col min="1" max="1" width="3.453125" style="1" bestFit="1" customWidth="1"/>
    <col min="2" max="5" width="5.54296875" style="15" customWidth="1"/>
    <col min="6" max="16" width="5.54296875" style="1" customWidth="1"/>
    <col min="17" max="24" width="3.453125" style="1" bestFit="1" customWidth="1"/>
    <col min="25" max="25" width="9.26953125" style="1" customWidth="1"/>
    <col min="26" max="16384" width="9" style="1"/>
  </cols>
  <sheetData>
    <row r="1" spans="1:16" ht="16.5" thickBot="1" x14ac:dyDescent="0.25">
      <c r="A1" s="19"/>
      <c r="B1" s="19" t="s">
        <v>13</v>
      </c>
      <c r="F1" s="19"/>
      <c r="G1" s="19"/>
      <c r="H1" s="19"/>
      <c r="I1" s="19"/>
      <c r="J1" s="19"/>
      <c r="K1" s="19"/>
      <c r="L1" s="19"/>
      <c r="M1" s="19"/>
      <c r="N1" s="19"/>
      <c r="O1" s="19"/>
      <c r="P1" s="19"/>
    </row>
    <row r="2" spans="1:16" ht="14.5" x14ac:dyDescent="0.2">
      <c r="A2" s="19"/>
      <c r="B2" s="74" t="str">
        <f>B27</f>
        <v>座</v>
      </c>
      <c r="C2" s="61" t="str">
        <f>B28</f>
        <v>幼</v>
      </c>
      <c r="D2" s="61" t="str">
        <f>B29</f>
        <v>著</v>
      </c>
      <c r="E2" s="61" t="str">
        <f>B30</f>
        <v>権</v>
      </c>
      <c r="F2" s="61" t="str">
        <f>B31</f>
        <v>尊</v>
      </c>
      <c r="G2" s="61" t="str">
        <f>B32</f>
        <v>庁</v>
      </c>
      <c r="H2" s="61" t="str">
        <f>B33</f>
        <v>装</v>
      </c>
      <c r="I2" s="61" t="str">
        <f>B34</f>
        <v>届</v>
      </c>
      <c r="J2" s="61" t="s">
        <v>14</v>
      </c>
      <c r="K2" s="65" t="s">
        <v>15</v>
      </c>
      <c r="L2" s="65" t="s">
        <v>16</v>
      </c>
      <c r="M2" s="65" t="s">
        <v>17</v>
      </c>
      <c r="N2" s="65" t="s">
        <v>18</v>
      </c>
      <c r="O2" s="65" t="s">
        <v>19</v>
      </c>
      <c r="P2" s="79" t="s">
        <v>20</v>
      </c>
    </row>
    <row r="3" spans="1:16" ht="15" thickBot="1" x14ac:dyDescent="0.25">
      <c r="A3" s="19"/>
      <c r="B3" s="75"/>
      <c r="C3" s="62"/>
      <c r="D3" s="62"/>
      <c r="E3" s="62"/>
      <c r="F3" s="62"/>
      <c r="G3" s="62"/>
      <c r="H3" s="62"/>
      <c r="I3" s="62"/>
      <c r="J3" s="62"/>
      <c r="K3" s="66"/>
      <c r="L3" s="66"/>
      <c r="M3" s="66"/>
      <c r="N3" s="66"/>
      <c r="O3" s="66"/>
      <c r="P3" s="80"/>
    </row>
    <row r="4" spans="1:16" ht="16.5" thickBot="1" x14ac:dyDescent="0.25">
      <c r="A4" s="19"/>
      <c r="F4" s="19"/>
      <c r="G4" s="19"/>
      <c r="H4" s="19"/>
      <c r="I4" s="19"/>
      <c r="J4" s="19"/>
      <c r="K4" s="19"/>
      <c r="L4" s="19"/>
      <c r="M4" s="19"/>
      <c r="N4" s="19"/>
      <c r="O4" s="19"/>
      <c r="P4" s="19"/>
    </row>
    <row r="5" spans="1:16" ht="16.5" thickBot="1" x14ac:dyDescent="0.25">
      <c r="A5" s="4"/>
      <c r="B5" s="5" t="s">
        <v>21</v>
      </c>
      <c r="C5" s="6"/>
      <c r="D5" s="6"/>
      <c r="E5" s="6" t="s">
        <v>22</v>
      </c>
      <c r="F5" s="7"/>
      <c r="G5" s="7"/>
      <c r="H5" s="7"/>
      <c r="I5" s="7"/>
      <c r="J5" s="7"/>
      <c r="K5" s="7"/>
      <c r="L5" s="7"/>
      <c r="M5" s="7"/>
      <c r="N5" s="7"/>
      <c r="O5" s="7"/>
      <c r="P5" s="8"/>
    </row>
    <row r="6" spans="1:16" ht="14.5" x14ac:dyDescent="0.2">
      <c r="A6" s="59">
        <v>1</v>
      </c>
      <c r="B6" s="76" t="s">
        <v>23</v>
      </c>
      <c r="C6" s="77"/>
      <c r="D6" s="78"/>
      <c r="E6" s="63">
        <f>LEN(B6)</f>
        <v>6</v>
      </c>
      <c r="F6" s="9" t="str">
        <f>MID(B6,1,1)</f>
        <v>正</v>
      </c>
      <c r="G6" s="10" t="str">
        <f>MID(B6,2,1)</f>
        <v>座</v>
      </c>
      <c r="H6" s="10" t="str">
        <f>MID(B6,3,1)</f>
        <v>し</v>
      </c>
      <c r="I6" s="10" t="str">
        <f>MID(B6,4,1)</f>
        <v>て</v>
      </c>
      <c r="J6" s="10" t="str">
        <f>MID(B6,5,1)</f>
        <v>聞</v>
      </c>
      <c r="K6" s="10" t="str">
        <f>MID(B6,6,1)</f>
        <v>く</v>
      </c>
      <c r="L6" s="10" t="str">
        <f>MID(B6,7,1)</f>
        <v/>
      </c>
      <c r="M6" s="10" t="str">
        <f>MID(B6,8,1)</f>
        <v/>
      </c>
      <c r="N6" s="10" t="str">
        <f>MID(B6,9,1)</f>
        <v/>
      </c>
      <c r="O6" s="10" t="str">
        <f>MID(B6,10,1)</f>
        <v/>
      </c>
      <c r="P6" s="11" t="str">
        <f>MID(B6,11,1)</f>
        <v/>
      </c>
    </row>
    <row r="7" spans="1:16" ht="15" thickBot="1" x14ac:dyDescent="0.25">
      <c r="A7" s="60"/>
      <c r="B7" s="70"/>
      <c r="C7" s="68"/>
      <c r="D7" s="69"/>
      <c r="E7" s="64"/>
      <c r="F7" s="12" t="s">
        <v>24</v>
      </c>
      <c r="G7" s="13" t="s">
        <v>25</v>
      </c>
      <c r="H7" s="13"/>
      <c r="I7" s="13"/>
      <c r="J7" s="13" t="s">
        <v>26</v>
      </c>
      <c r="K7" s="13"/>
      <c r="L7" s="13"/>
      <c r="M7" s="13"/>
      <c r="N7" s="13"/>
      <c r="O7" s="13"/>
      <c r="P7" s="14"/>
    </row>
    <row r="8" spans="1:16" ht="14.5" x14ac:dyDescent="0.2">
      <c r="A8" s="59">
        <v>2</v>
      </c>
      <c r="B8" s="67" t="s">
        <v>27</v>
      </c>
      <c r="C8" s="68"/>
      <c r="D8" s="69"/>
      <c r="E8" s="63">
        <f>LEN(B8)</f>
        <v>7</v>
      </c>
      <c r="F8" s="9" t="str">
        <f>MID(B8,1,1)</f>
        <v>幼</v>
      </c>
      <c r="G8" s="10" t="str">
        <f>MID(B8,2,1)</f>
        <v>い</v>
      </c>
      <c r="H8" s="10" t="str">
        <f>MID(B8,3,1)</f>
        <v>こ</v>
      </c>
      <c r="I8" s="10" t="str">
        <f>MID(B8,4,1)</f>
        <v>ろ</v>
      </c>
      <c r="J8" s="10" t="str">
        <f>MID(B8,5,1)</f>
        <v>の</v>
      </c>
      <c r="K8" s="10" t="str">
        <f>MID(B8,6,1)</f>
        <v>写</v>
      </c>
      <c r="L8" s="10" t="str">
        <f>MID(B8,7,1)</f>
        <v>真</v>
      </c>
      <c r="M8" s="10" t="str">
        <f>MID(B8,8,1)</f>
        <v/>
      </c>
      <c r="N8" s="10" t="str">
        <f>MID(B8,9,1)</f>
        <v/>
      </c>
      <c r="O8" s="10" t="str">
        <f>MID(B8,10,1)</f>
        <v/>
      </c>
      <c r="P8" s="11" t="str">
        <f>MID(B8,11,1)</f>
        <v/>
      </c>
    </row>
    <row r="9" spans="1:16" ht="15" thickBot="1" x14ac:dyDescent="0.25">
      <c r="A9" s="60"/>
      <c r="B9" s="70"/>
      <c r="C9" s="68"/>
      <c r="D9" s="69"/>
      <c r="E9" s="64"/>
      <c r="F9" s="12" t="s">
        <v>28</v>
      </c>
      <c r="G9" s="13"/>
      <c r="H9" s="13"/>
      <c r="I9" s="13"/>
      <c r="J9" s="13"/>
      <c r="K9" s="13" t="s">
        <v>29</v>
      </c>
      <c r="L9" s="13" t="s">
        <v>30</v>
      </c>
      <c r="M9" s="13"/>
      <c r="N9" s="13"/>
      <c r="O9" s="13"/>
      <c r="P9" s="14"/>
    </row>
    <row r="10" spans="1:16" ht="14.5" x14ac:dyDescent="0.2">
      <c r="A10" s="59">
        <v>3</v>
      </c>
      <c r="B10" s="67" t="s">
        <v>31</v>
      </c>
      <c r="C10" s="68"/>
      <c r="D10" s="69"/>
      <c r="E10" s="63">
        <f>LEN(B10)</f>
        <v>7</v>
      </c>
      <c r="F10" s="9" t="str">
        <f>MID(B10,1,1)</f>
        <v>本</v>
      </c>
      <c r="G10" s="10" t="str">
        <f>MID(B10,2,1)</f>
        <v>の</v>
      </c>
      <c r="H10" s="10" t="str">
        <f>MID(B10,3,1)</f>
        <v>著</v>
      </c>
      <c r="I10" s="10" t="str">
        <f>MID(B10,4,1)</f>
        <v>者</v>
      </c>
      <c r="J10" s="10" t="str">
        <f>MID(B10,5,1)</f>
        <v>に</v>
      </c>
      <c r="K10" s="10" t="str">
        <f>MID(B10,6,1)</f>
        <v>会</v>
      </c>
      <c r="L10" s="10" t="str">
        <f>MID(B10,7,1)</f>
        <v>う</v>
      </c>
      <c r="M10" s="10" t="str">
        <f>MID(B10,8,1)</f>
        <v/>
      </c>
      <c r="N10" s="10" t="str">
        <f>MID(B10,9,1)</f>
        <v/>
      </c>
      <c r="O10" s="10" t="str">
        <f>MID(B10,10,1)</f>
        <v/>
      </c>
      <c r="P10" s="11" t="str">
        <f>MID(B10,11,1)</f>
        <v/>
      </c>
    </row>
    <row r="11" spans="1:16" ht="15" thickBot="1" x14ac:dyDescent="0.25">
      <c r="A11" s="60"/>
      <c r="B11" s="70"/>
      <c r="C11" s="68"/>
      <c r="D11" s="69"/>
      <c r="E11" s="64"/>
      <c r="F11" s="12" t="s">
        <v>32</v>
      </c>
      <c r="G11" s="13"/>
      <c r="H11" s="13" t="s">
        <v>33</v>
      </c>
      <c r="I11" s="13" t="s">
        <v>29</v>
      </c>
      <c r="J11" s="13"/>
      <c r="K11" s="13" t="s">
        <v>34</v>
      </c>
      <c r="L11" s="13"/>
      <c r="M11" s="13"/>
      <c r="N11" s="13"/>
      <c r="O11" s="13"/>
      <c r="P11" s="14"/>
    </row>
    <row r="12" spans="1:16" ht="14.5" x14ac:dyDescent="0.2">
      <c r="A12" s="59">
        <v>4</v>
      </c>
      <c r="B12" s="67" t="s">
        <v>35</v>
      </c>
      <c r="C12" s="68"/>
      <c r="D12" s="69"/>
      <c r="E12" s="63">
        <f>LEN(B12)</f>
        <v>7</v>
      </c>
      <c r="F12" s="9" t="str">
        <f>MID(B12,1,1)</f>
        <v>権</v>
      </c>
      <c r="G12" s="10" t="str">
        <f>MID(B12,2,1)</f>
        <v>利</v>
      </c>
      <c r="H12" s="10" t="str">
        <f>MID(B12,3,1)</f>
        <v>を</v>
      </c>
      <c r="I12" s="10" t="str">
        <f>MID(B12,4,1)</f>
        <v>主</v>
      </c>
      <c r="J12" s="10" t="str">
        <f>MID(B12,5,1)</f>
        <v>張</v>
      </c>
      <c r="K12" s="10" t="str">
        <f>MID(B12,6,1)</f>
        <v>す</v>
      </c>
      <c r="L12" s="10" t="str">
        <f>MID(B12,7,1)</f>
        <v>る</v>
      </c>
      <c r="M12" s="10" t="str">
        <f>MID(B12,8,1)</f>
        <v/>
      </c>
      <c r="N12" s="10" t="str">
        <f>MID(B12,9,1)</f>
        <v/>
      </c>
      <c r="O12" s="10" t="str">
        <f>MID(B12,10,1)</f>
        <v/>
      </c>
      <c r="P12" s="11" t="str">
        <f>MID(B12,11,1)</f>
        <v/>
      </c>
    </row>
    <row r="13" spans="1:16" ht="15" thickBot="1" x14ac:dyDescent="0.25">
      <c r="A13" s="60"/>
      <c r="B13" s="70"/>
      <c r="C13" s="68"/>
      <c r="D13" s="69"/>
      <c r="E13" s="64"/>
      <c r="F13" s="12" t="s">
        <v>36</v>
      </c>
      <c r="G13" s="13" t="s">
        <v>37</v>
      </c>
      <c r="H13" s="13"/>
      <c r="I13" s="13" t="s">
        <v>38</v>
      </c>
      <c r="J13" s="13" t="s">
        <v>39</v>
      </c>
      <c r="K13" s="13"/>
      <c r="L13" s="13"/>
      <c r="M13" s="13"/>
      <c r="N13" s="13"/>
      <c r="O13" s="13"/>
      <c r="P13" s="14"/>
    </row>
    <row r="14" spans="1:16" ht="14.5" x14ac:dyDescent="0.2">
      <c r="A14" s="59">
        <v>5</v>
      </c>
      <c r="B14" s="67" t="s">
        <v>40</v>
      </c>
      <c r="C14" s="68"/>
      <c r="D14" s="69"/>
      <c r="E14" s="63">
        <f>LEN(B14)</f>
        <v>7</v>
      </c>
      <c r="F14" s="9" t="str">
        <f>MID(B14,1,1)</f>
        <v>自</v>
      </c>
      <c r="G14" s="10" t="str">
        <f>MID(B14,2,1)</f>
        <v>尊</v>
      </c>
      <c r="H14" s="10" t="str">
        <f>MID(B14,3,1)</f>
        <v>心</v>
      </c>
      <c r="I14" s="10" t="str">
        <f>MID(B14,4,1)</f>
        <v>を</v>
      </c>
      <c r="J14" s="10" t="str">
        <f>MID(B14,5,1)</f>
        <v>高</v>
      </c>
      <c r="K14" s="10" t="str">
        <f>MID(B14,6,1)</f>
        <v>め</v>
      </c>
      <c r="L14" s="10" t="str">
        <f>MID(B14,7,1)</f>
        <v>る</v>
      </c>
      <c r="M14" s="10" t="str">
        <f>MID(B14,8,1)</f>
        <v/>
      </c>
      <c r="N14" s="10" t="str">
        <f>MID(B14,9,1)</f>
        <v/>
      </c>
      <c r="O14" s="10" t="str">
        <f>MID(B14,10,1)</f>
        <v/>
      </c>
      <c r="P14" s="11" t="str">
        <f>MID(B14,11,1)</f>
        <v/>
      </c>
    </row>
    <row r="15" spans="1:16" ht="15" thickBot="1" x14ac:dyDescent="0.25">
      <c r="A15" s="60"/>
      <c r="B15" s="70"/>
      <c r="C15" s="68"/>
      <c r="D15" s="69"/>
      <c r="E15" s="64"/>
      <c r="F15" s="12" t="s">
        <v>41</v>
      </c>
      <c r="G15" s="13" t="s">
        <v>42</v>
      </c>
      <c r="H15" s="13" t="s">
        <v>30</v>
      </c>
      <c r="I15" s="13"/>
      <c r="J15" s="13" t="s">
        <v>43</v>
      </c>
      <c r="K15" s="13"/>
      <c r="L15" s="13"/>
      <c r="M15" s="13"/>
      <c r="N15" s="13"/>
      <c r="O15" s="13"/>
      <c r="P15" s="14"/>
    </row>
    <row r="16" spans="1:16" ht="14.5" x14ac:dyDescent="0.2">
      <c r="A16" s="59">
        <v>6</v>
      </c>
      <c r="B16" s="67" t="s">
        <v>44</v>
      </c>
      <c r="C16" s="68"/>
      <c r="D16" s="69"/>
      <c r="E16" s="63">
        <f>LEN(B16)</f>
        <v>4</v>
      </c>
      <c r="F16" s="9" t="str">
        <f>MID(B16,1,1)</f>
        <v>尊</v>
      </c>
      <c r="G16" s="10" t="str">
        <f>MID(B16,2,1)</f>
        <v>い</v>
      </c>
      <c r="H16" s="10" t="str">
        <f>MID(B16,3,1)</f>
        <v>教</v>
      </c>
      <c r="I16" s="10" t="str">
        <f>MID(B16,4,1)</f>
        <v>え</v>
      </c>
      <c r="J16" s="10" t="str">
        <f>MID(B16,5,1)</f>
        <v/>
      </c>
      <c r="K16" s="10" t="str">
        <f>MID(B16,6,1)</f>
        <v/>
      </c>
      <c r="L16" s="10" t="str">
        <f>MID(B16,7,1)</f>
        <v/>
      </c>
      <c r="M16" s="10" t="str">
        <f>MID(B16,8,1)</f>
        <v/>
      </c>
      <c r="N16" s="10" t="str">
        <f>MID(B16,9,1)</f>
        <v/>
      </c>
      <c r="O16" s="10" t="str">
        <f>MID(B16,10,1)</f>
        <v/>
      </c>
      <c r="P16" s="11" t="str">
        <f>MID(B16,11,1)</f>
        <v/>
      </c>
    </row>
    <row r="17" spans="1:16" ht="15" thickBot="1" x14ac:dyDescent="0.25">
      <c r="A17" s="60"/>
      <c r="B17" s="70"/>
      <c r="C17" s="68"/>
      <c r="D17" s="69"/>
      <c r="E17" s="64"/>
      <c r="F17" s="12" t="s">
        <v>45</v>
      </c>
      <c r="G17" s="13"/>
      <c r="H17" s="13" t="s">
        <v>46</v>
      </c>
      <c r="I17" s="13"/>
      <c r="J17" s="13"/>
      <c r="K17" s="13"/>
      <c r="L17" s="13"/>
      <c r="M17" s="13"/>
      <c r="N17" s="13"/>
      <c r="O17" s="13"/>
      <c r="P17" s="14"/>
    </row>
    <row r="18" spans="1:16" ht="14.5" x14ac:dyDescent="0.2">
      <c r="A18" s="59">
        <v>7</v>
      </c>
      <c r="B18" s="67" t="s">
        <v>47</v>
      </c>
      <c r="C18" s="68"/>
      <c r="D18" s="69"/>
      <c r="E18" s="63">
        <f>LEN(B18)</f>
        <v>4</v>
      </c>
      <c r="F18" s="9" t="str">
        <f>MID(B18,1,1)</f>
        <v>市</v>
      </c>
      <c r="G18" s="10" t="str">
        <f>MID(B18,2,1)</f>
        <v>の</v>
      </c>
      <c r="H18" s="10" t="str">
        <f>MID(B18,3,1)</f>
        <v>庁</v>
      </c>
      <c r="I18" s="10" t="str">
        <f>MID(B18,4,1)</f>
        <v>舎</v>
      </c>
      <c r="J18" s="10" t="str">
        <f>MID(B18,5,1)</f>
        <v/>
      </c>
      <c r="K18" s="10" t="str">
        <f>MID(B18,6,1)</f>
        <v/>
      </c>
      <c r="L18" s="10" t="str">
        <f>MID(B18,7,1)</f>
        <v/>
      </c>
      <c r="M18" s="10" t="str">
        <f>MID(B18,8,1)</f>
        <v/>
      </c>
      <c r="N18" s="10" t="str">
        <f>MID(B18,9,1)</f>
        <v/>
      </c>
      <c r="O18" s="10" t="str">
        <f>MID(B18,10,1)</f>
        <v/>
      </c>
      <c r="P18" s="11" t="str">
        <f>MID(B18,11,1)</f>
        <v/>
      </c>
    </row>
    <row r="19" spans="1:16" ht="15" thickBot="1" x14ac:dyDescent="0.25">
      <c r="A19" s="60"/>
      <c r="B19" s="70"/>
      <c r="C19" s="68"/>
      <c r="D19" s="69"/>
      <c r="E19" s="64"/>
      <c r="F19" s="12" t="s">
        <v>48</v>
      </c>
      <c r="G19" s="13"/>
      <c r="H19" s="13" t="s">
        <v>49</v>
      </c>
      <c r="I19" s="13" t="s">
        <v>29</v>
      </c>
      <c r="J19" s="13"/>
      <c r="K19" s="13"/>
      <c r="L19" s="13"/>
      <c r="M19" s="13"/>
      <c r="N19" s="13"/>
      <c r="O19" s="13"/>
      <c r="P19" s="14"/>
    </row>
    <row r="20" spans="1:16" ht="14.5" x14ac:dyDescent="0.2">
      <c r="A20" s="59">
        <v>8</v>
      </c>
      <c r="B20" s="67" t="s">
        <v>50</v>
      </c>
      <c r="C20" s="68"/>
      <c r="D20" s="69"/>
      <c r="E20" s="63">
        <f>LEN(B20)</f>
        <v>7</v>
      </c>
      <c r="F20" s="9" t="str">
        <f>MID(B20,1,1)</f>
        <v>建</v>
      </c>
      <c r="G20" s="10" t="str">
        <f>MID(B20,2,1)</f>
        <v>物</v>
      </c>
      <c r="H20" s="10" t="str">
        <f>MID(B20,3,1)</f>
        <v>を</v>
      </c>
      <c r="I20" s="10" t="str">
        <f>MID(B20,4,1)</f>
        <v>改</v>
      </c>
      <c r="J20" s="10" t="str">
        <f>MID(B20,5,1)</f>
        <v>装</v>
      </c>
      <c r="K20" s="10" t="str">
        <f>MID(B20,6,1)</f>
        <v>す</v>
      </c>
      <c r="L20" s="10" t="str">
        <f>MID(B20,7,1)</f>
        <v>る</v>
      </c>
      <c r="M20" s="10" t="str">
        <f>MID(B20,8,1)</f>
        <v/>
      </c>
      <c r="N20" s="10" t="str">
        <f>MID(B20,9,1)</f>
        <v/>
      </c>
      <c r="O20" s="10" t="str">
        <f>MID(B20,10,1)</f>
        <v/>
      </c>
      <c r="P20" s="11" t="str">
        <f>MID(B20,11,1)</f>
        <v/>
      </c>
    </row>
    <row r="21" spans="1:16" ht="15" thickBot="1" x14ac:dyDescent="0.25">
      <c r="A21" s="60"/>
      <c r="B21" s="70"/>
      <c r="C21" s="68"/>
      <c r="D21" s="69"/>
      <c r="E21" s="64"/>
      <c r="F21" s="12" t="s">
        <v>51</v>
      </c>
      <c r="G21" s="13" t="s">
        <v>52</v>
      </c>
      <c r="H21" s="13"/>
      <c r="I21" s="13" t="s">
        <v>53</v>
      </c>
      <c r="J21" s="13" t="s">
        <v>54</v>
      </c>
      <c r="K21" s="13"/>
      <c r="L21" s="13"/>
      <c r="M21" s="13"/>
      <c r="N21" s="13"/>
      <c r="O21" s="13"/>
      <c r="P21" s="14"/>
    </row>
    <row r="22" spans="1:16" ht="14.5" x14ac:dyDescent="0.2">
      <c r="A22" s="59">
        <v>9</v>
      </c>
      <c r="B22" s="67" t="s">
        <v>55</v>
      </c>
      <c r="C22" s="68"/>
      <c r="D22" s="69"/>
      <c r="E22" s="63">
        <f>LEN(B22)</f>
        <v>6</v>
      </c>
      <c r="F22" s="9" t="str">
        <f>MID(B22,1,1)</f>
        <v>書</v>
      </c>
      <c r="G22" s="10" t="str">
        <f>MID(B22,2,1)</f>
        <v>類</v>
      </c>
      <c r="H22" s="10" t="str">
        <f>MID(B22,3,1)</f>
        <v>を</v>
      </c>
      <c r="I22" s="10" t="str">
        <f>MID(B22,4,1)</f>
        <v>届</v>
      </c>
      <c r="J22" s="10" t="str">
        <f>MID(B22,5,1)</f>
        <v>け</v>
      </c>
      <c r="K22" s="10" t="str">
        <f>MID(B22,6,1)</f>
        <v>る</v>
      </c>
      <c r="L22" s="10" t="str">
        <f>MID(B22,7,1)</f>
        <v/>
      </c>
      <c r="M22" s="10" t="str">
        <f>MID(B22,8,1)</f>
        <v/>
      </c>
      <c r="N22" s="10" t="str">
        <f>MID(B22,9,1)</f>
        <v/>
      </c>
      <c r="O22" s="10" t="str">
        <f>MID(B22,10,1)</f>
        <v/>
      </c>
      <c r="P22" s="11" t="str">
        <f>MID(B22,11,1)</f>
        <v/>
      </c>
    </row>
    <row r="23" spans="1:16" ht="15" thickBot="1" x14ac:dyDescent="0.25">
      <c r="A23" s="60"/>
      <c r="B23" s="70"/>
      <c r="C23" s="68"/>
      <c r="D23" s="69"/>
      <c r="E23" s="64"/>
      <c r="F23" s="12" t="s">
        <v>56</v>
      </c>
      <c r="G23" s="13" t="s">
        <v>57</v>
      </c>
      <c r="H23" s="13"/>
      <c r="I23" s="13" t="s">
        <v>58</v>
      </c>
      <c r="J23" s="13"/>
      <c r="K23" s="13"/>
      <c r="L23" s="13"/>
      <c r="M23" s="13"/>
      <c r="N23" s="13"/>
      <c r="O23" s="13"/>
      <c r="P23" s="14"/>
    </row>
    <row r="24" spans="1:16" ht="14.5" x14ac:dyDescent="0.2">
      <c r="A24" s="59">
        <v>10</v>
      </c>
      <c r="B24" s="67" t="s">
        <v>59</v>
      </c>
      <c r="C24" s="68"/>
      <c r="D24" s="69"/>
      <c r="E24" s="63">
        <f>LEN(B24)</f>
        <v>5</v>
      </c>
      <c r="F24" s="9" t="str">
        <f>MID(B24,1,1)</f>
        <v>白</v>
      </c>
      <c r="G24" s="10" t="str">
        <f>MID(B24,2,1)</f>
        <v>い</v>
      </c>
      <c r="H24" s="10" t="str">
        <f>MID(B24,3,1)</f>
        <v>包</v>
      </c>
      <c r="I24" s="10" t="str">
        <f>MID(B24,4,1)</f>
        <v>装</v>
      </c>
      <c r="J24" s="10" t="str">
        <f>MID(B24,5,1)</f>
        <v>紙</v>
      </c>
      <c r="K24" s="10" t="str">
        <f>MID(B24,6,1)</f>
        <v/>
      </c>
      <c r="L24" s="10" t="str">
        <f>MID(B24,7,1)</f>
        <v/>
      </c>
      <c r="M24" s="10" t="str">
        <f>MID(B24,8,1)</f>
        <v/>
      </c>
      <c r="N24" s="10" t="str">
        <f>MID(B24,9,1)</f>
        <v/>
      </c>
      <c r="O24" s="10" t="str">
        <f>MID(B24,10,1)</f>
        <v/>
      </c>
      <c r="P24" s="11" t="str">
        <f>MID(B24,11,1)</f>
        <v/>
      </c>
    </row>
    <row r="25" spans="1:16" ht="15" thickBot="1" x14ac:dyDescent="0.25">
      <c r="A25" s="60"/>
      <c r="B25" s="71"/>
      <c r="C25" s="72"/>
      <c r="D25" s="73"/>
      <c r="E25" s="64"/>
      <c r="F25" s="12" t="s">
        <v>60</v>
      </c>
      <c r="G25" s="13"/>
      <c r="H25" s="13" t="s">
        <v>61</v>
      </c>
      <c r="I25" s="13" t="s">
        <v>54</v>
      </c>
      <c r="J25" s="13" t="s">
        <v>48</v>
      </c>
      <c r="K25" s="13"/>
      <c r="L25" s="13"/>
      <c r="M25" s="13"/>
      <c r="N25" s="13"/>
      <c r="O25" s="13"/>
      <c r="P25" s="14"/>
    </row>
    <row r="27" spans="1:16" ht="23.5" x14ac:dyDescent="0.2">
      <c r="A27" s="19"/>
      <c r="B27" s="18" t="s">
        <v>62</v>
      </c>
      <c r="F27" s="19"/>
      <c r="G27" s="19"/>
      <c r="H27" s="19"/>
      <c r="I27" s="19"/>
      <c r="J27" s="19"/>
      <c r="K27" s="19"/>
      <c r="L27" s="19"/>
      <c r="M27" s="19"/>
      <c r="N27" s="19"/>
      <c r="O27" s="19"/>
      <c r="P27" s="19"/>
    </row>
    <row r="28" spans="1:16" ht="23.5" x14ac:dyDescent="0.2">
      <c r="A28" s="19"/>
      <c r="B28" s="18" t="s">
        <v>63</v>
      </c>
      <c r="F28" s="19"/>
      <c r="G28" s="19"/>
      <c r="H28" s="19"/>
      <c r="I28" s="19"/>
      <c r="J28" s="19"/>
      <c r="K28" s="19"/>
      <c r="L28" s="19"/>
      <c r="M28" s="19"/>
      <c r="N28" s="19"/>
      <c r="O28" s="19"/>
      <c r="P28" s="19"/>
    </row>
    <row r="29" spans="1:16" ht="23.5" x14ac:dyDescent="0.2">
      <c r="A29" s="19"/>
      <c r="B29" s="18" t="s">
        <v>64</v>
      </c>
      <c r="F29" s="19"/>
      <c r="G29" s="19"/>
      <c r="H29" s="19"/>
      <c r="I29" s="19"/>
      <c r="J29" s="19"/>
      <c r="K29" s="19"/>
      <c r="L29" s="19"/>
      <c r="M29" s="19"/>
      <c r="N29" s="19"/>
      <c r="O29" s="19"/>
      <c r="P29" s="19"/>
    </row>
    <row r="30" spans="1:16" ht="23.5" x14ac:dyDescent="0.2">
      <c r="A30" s="19"/>
      <c r="B30" s="18" t="s">
        <v>65</v>
      </c>
      <c r="F30" s="19"/>
      <c r="G30" s="19"/>
      <c r="H30" s="19"/>
      <c r="I30" s="19"/>
      <c r="J30" s="19"/>
      <c r="K30" s="19"/>
      <c r="L30" s="19"/>
      <c r="M30" s="19"/>
      <c r="N30" s="19"/>
      <c r="O30" s="19"/>
      <c r="P30" s="19"/>
    </row>
    <row r="31" spans="1:16" ht="23.5" x14ac:dyDescent="0.2">
      <c r="A31" s="19"/>
      <c r="B31" s="18" t="s">
        <v>66</v>
      </c>
      <c r="F31" s="19"/>
      <c r="G31" s="19"/>
      <c r="H31" s="19"/>
      <c r="I31" s="19"/>
      <c r="J31" s="19"/>
      <c r="K31" s="19"/>
      <c r="L31" s="19"/>
      <c r="M31" s="19"/>
      <c r="N31" s="19"/>
      <c r="O31" s="19"/>
      <c r="P31" s="19"/>
    </row>
    <row r="32" spans="1:16" ht="23.5" x14ac:dyDescent="0.2">
      <c r="A32" s="19"/>
      <c r="B32" s="18" t="s">
        <v>67</v>
      </c>
      <c r="F32" s="19"/>
      <c r="G32" s="19"/>
      <c r="H32" s="19"/>
      <c r="I32" s="19"/>
      <c r="J32" s="19"/>
      <c r="K32" s="19"/>
      <c r="L32" s="19"/>
      <c r="M32" s="19"/>
      <c r="N32" s="19"/>
      <c r="O32" s="19"/>
      <c r="P32" s="19"/>
    </row>
    <row r="33" spans="2:41" ht="23.5" x14ac:dyDescent="0.2">
      <c r="B33" s="18" t="s">
        <v>68</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2:41" ht="23.5" x14ac:dyDescent="0.2">
      <c r="B34" s="18" t="s">
        <v>69</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9" spans="2:41" hidden="1" x14ac:dyDescent="0.2">
      <c r="F39" s="19"/>
      <c r="G39" s="19"/>
      <c r="H39" s="19"/>
      <c r="I39" s="19"/>
      <c r="J39" s="19"/>
      <c r="K39" s="19"/>
      <c r="L39" s="19"/>
      <c r="M39" s="19"/>
      <c r="N39" s="19"/>
      <c r="O39" s="19"/>
      <c r="P39" s="19"/>
      <c r="Q39" s="19">
        <f ca="1">RAND()</f>
        <v>4.351465624796258E-2</v>
      </c>
      <c r="R39" s="19">
        <f ca="1">IF(印刷シート!$EB$2="する",RANK(Q39,$Q$39:$Q$48,0),1)</f>
        <v>10</v>
      </c>
      <c r="S39" s="15" t="str">
        <f>B2</f>
        <v>座</v>
      </c>
      <c r="T39" s="19" t="str">
        <f t="shared" ref="T39:AD39" si="0">IF(F7="","",F7)</f>
        <v>せい</v>
      </c>
      <c r="U39" s="19" t="str">
        <f t="shared" si="0"/>
        <v>ざ</v>
      </c>
      <c r="V39" s="19" t="str">
        <f t="shared" si="0"/>
        <v/>
      </c>
      <c r="W39" s="19" t="str">
        <f t="shared" si="0"/>
        <v/>
      </c>
      <c r="X39" s="19" t="str">
        <f t="shared" si="0"/>
        <v>き</v>
      </c>
      <c r="Y39" s="19" t="str">
        <f t="shared" si="0"/>
        <v/>
      </c>
      <c r="Z39" s="19" t="str">
        <f t="shared" si="0"/>
        <v/>
      </c>
      <c r="AA39" s="19" t="str">
        <f t="shared" si="0"/>
        <v/>
      </c>
      <c r="AB39" s="19" t="str">
        <f t="shared" si="0"/>
        <v/>
      </c>
      <c r="AC39" s="19" t="str">
        <f t="shared" si="0"/>
        <v/>
      </c>
      <c r="AD39" s="19" t="str">
        <f t="shared" si="0"/>
        <v/>
      </c>
      <c r="AE39" s="19" t="str">
        <f t="shared" ref="AE39:AO39" si="1">IF(F6="","",F6)</f>
        <v>正</v>
      </c>
      <c r="AF39" s="19" t="str">
        <f t="shared" si="1"/>
        <v>座</v>
      </c>
      <c r="AG39" s="19" t="str">
        <f t="shared" si="1"/>
        <v>し</v>
      </c>
      <c r="AH39" s="19" t="str">
        <f t="shared" si="1"/>
        <v>て</v>
      </c>
      <c r="AI39" s="19" t="str">
        <f t="shared" si="1"/>
        <v>聞</v>
      </c>
      <c r="AJ39" s="19" t="str">
        <f t="shared" si="1"/>
        <v>く</v>
      </c>
      <c r="AK39" s="19" t="str">
        <f t="shared" si="1"/>
        <v/>
      </c>
      <c r="AL39" s="19" t="str">
        <f t="shared" si="1"/>
        <v/>
      </c>
      <c r="AM39" s="19" t="str">
        <f t="shared" si="1"/>
        <v/>
      </c>
      <c r="AN39" s="19" t="str">
        <f t="shared" si="1"/>
        <v/>
      </c>
      <c r="AO39" s="19" t="str">
        <f t="shared" si="1"/>
        <v/>
      </c>
    </row>
    <row r="40" spans="2:41" hidden="1" x14ac:dyDescent="0.2">
      <c r="F40" s="19"/>
      <c r="G40" s="19"/>
      <c r="H40" s="19"/>
      <c r="I40" s="19"/>
      <c r="J40" s="19"/>
      <c r="K40" s="19"/>
      <c r="L40" s="19"/>
      <c r="M40" s="19"/>
      <c r="N40" s="19"/>
      <c r="O40" s="19"/>
      <c r="P40" s="19"/>
      <c r="Q40" s="19">
        <f t="shared" ref="Q40:Q48" ca="1" si="2">RAND()</f>
        <v>0.10543171631866644</v>
      </c>
      <c r="R40" s="19">
        <f ca="1">IF(印刷シート!$EB$2="する",RANK(Q40,$Q$39:$Q$48,0),2)</f>
        <v>9</v>
      </c>
      <c r="S40" s="15" t="str">
        <f>C2</f>
        <v>幼</v>
      </c>
      <c r="T40" s="19" t="str">
        <f t="shared" ref="T40:AD40" si="3">IF(F9="","",F9)</f>
        <v>おさな</v>
      </c>
      <c r="U40" s="19" t="str">
        <f t="shared" si="3"/>
        <v/>
      </c>
      <c r="V40" s="19" t="str">
        <f t="shared" si="3"/>
        <v/>
      </c>
      <c r="W40" s="19" t="str">
        <f t="shared" si="3"/>
        <v/>
      </c>
      <c r="X40" s="19" t="str">
        <f t="shared" si="3"/>
        <v/>
      </c>
      <c r="Y40" s="19" t="str">
        <f t="shared" si="3"/>
        <v>しゃ</v>
      </c>
      <c r="Z40" s="19" t="str">
        <f t="shared" si="3"/>
        <v>しん</v>
      </c>
      <c r="AA40" s="19" t="str">
        <f t="shared" si="3"/>
        <v/>
      </c>
      <c r="AB40" s="19" t="str">
        <f t="shared" si="3"/>
        <v/>
      </c>
      <c r="AC40" s="19" t="str">
        <f t="shared" si="3"/>
        <v/>
      </c>
      <c r="AD40" s="19" t="str">
        <f t="shared" si="3"/>
        <v/>
      </c>
      <c r="AE40" s="19" t="str">
        <f t="shared" ref="AE40:AO40" si="4">IF(F8="","",F8)</f>
        <v>幼</v>
      </c>
      <c r="AF40" s="19" t="str">
        <f t="shared" si="4"/>
        <v>い</v>
      </c>
      <c r="AG40" s="19" t="str">
        <f t="shared" si="4"/>
        <v>こ</v>
      </c>
      <c r="AH40" s="19" t="str">
        <f t="shared" si="4"/>
        <v>ろ</v>
      </c>
      <c r="AI40" s="19" t="str">
        <f t="shared" si="4"/>
        <v>の</v>
      </c>
      <c r="AJ40" s="19" t="str">
        <f t="shared" si="4"/>
        <v>写</v>
      </c>
      <c r="AK40" s="19" t="str">
        <f t="shared" si="4"/>
        <v>真</v>
      </c>
      <c r="AL40" s="19" t="str">
        <f t="shared" si="4"/>
        <v/>
      </c>
      <c r="AM40" s="19" t="str">
        <f t="shared" si="4"/>
        <v/>
      </c>
      <c r="AN40" s="19" t="str">
        <f t="shared" si="4"/>
        <v/>
      </c>
      <c r="AO40" s="19" t="str">
        <f t="shared" si="4"/>
        <v/>
      </c>
    </row>
    <row r="41" spans="2:41" hidden="1" x14ac:dyDescent="0.2">
      <c r="F41" s="19"/>
      <c r="G41" s="19"/>
      <c r="H41" s="19"/>
      <c r="I41" s="19"/>
      <c r="J41" s="19"/>
      <c r="K41" s="19"/>
      <c r="L41" s="19"/>
      <c r="M41" s="19"/>
      <c r="N41" s="19"/>
      <c r="O41" s="19"/>
      <c r="P41" s="19"/>
      <c r="Q41" s="19">
        <f t="shared" ca="1" si="2"/>
        <v>0.42623388115091709</v>
      </c>
      <c r="R41" s="19">
        <f ca="1">IF(印刷シート!$EB$2="する",RANK(Q41,$Q$39:$Q$48,0),3)</f>
        <v>5</v>
      </c>
      <c r="S41" s="15" t="str">
        <f>D2</f>
        <v>著</v>
      </c>
      <c r="T41" s="19" t="str">
        <f t="shared" ref="T41:AD41" si="5">IF(F11="","",F11)</f>
        <v>ほん</v>
      </c>
      <c r="U41" s="19" t="str">
        <f t="shared" si="5"/>
        <v/>
      </c>
      <c r="V41" s="19" t="str">
        <f t="shared" si="5"/>
        <v>ちょ</v>
      </c>
      <c r="W41" s="19" t="str">
        <f t="shared" si="5"/>
        <v>しゃ</v>
      </c>
      <c r="X41" s="19" t="str">
        <f t="shared" si="5"/>
        <v/>
      </c>
      <c r="Y41" s="19" t="str">
        <f t="shared" si="5"/>
        <v>あ</v>
      </c>
      <c r="Z41" s="19" t="str">
        <f t="shared" si="5"/>
        <v/>
      </c>
      <c r="AA41" s="19" t="str">
        <f t="shared" si="5"/>
        <v/>
      </c>
      <c r="AB41" s="19" t="str">
        <f t="shared" si="5"/>
        <v/>
      </c>
      <c r="AC41" s="19" t="str">
        <f t="shared" si="5"/>
        <v/>
      </c>
      <c r="AD41" s="19" t="str">
        <f t="shared" si="5"/>
        <v/>
      </c>
      <c r="AE41" s="19" t="str">
        <f t="shared" ref="AE41:AO41" si="6">IF(F10="","",F10)</f>
        <v>本</v>
      </c>
      <c r="AF41" s="19" t="str">
        <f t="shared" si="6"/>
        <v>の</v>
      </c>
      <c r="AG41" s="19" t="str">
        <f t="shared" si="6"/>
        <v>著</v>
      </c>
      <c r="AH41" s="19" t="str">
        <f t="shared" si="6"/>
        <v>者</v>
      </c>
      <c r="AI41" s="19" t="str">
        <f t="shared" si="6"/>
        <v>に</v>
      </c>
      <c r="AJ41" s="19" t="str">
        <f t="shared" si="6"/>
        <v>会</v>
      </c>
      <c r="AK41" s="19" t="str">
        <f t="shared" si="6"/>
        <v>う</v>
      </c>
      <c r="AL41" s="19" t="str">
        <f t="shared" si="6"/>
        <v/>
      </c>
      <c r="AM41" s="19" t="str">
        <f t="shared" si="6"/>
        <v/>
      </c>
      <c r="AN41" s="19" t="str">
        <f t="shared" si="6"/>
        <v/>
      </c>
      <c r="AO41" s="19" t="str">
        <f t="shared" si="6"/>
        <v/>
      </c>
    </row>
    <row r="42" spans="2:41" hidden="1" x14ac:dyDescent="0.2">
      <c r="F42" s="19"/>
      <c r="G42" s="19"/>
      <c r="H42" s="19"/>
      <c r="I42" s="19"/>
      <c r="J42" s="19"/>
      <c r="K42" s="19"/>
      <c r="L42" s="19"/>
      <c r="M42" s="19"/>
      <c r="N42" s="19"/>
      <c r="O42" s="19"/>
      <c r="P42" s="19"/>
      <c r="Q42" s="19">
        <f t="shared" ca="1" si="2"/>
        <v>0.81670330033073235</v>
      </c>
      <c r="R42" s="19">
        <f ca="1">IF(印刷シート!$EB$2="する",RANK(Q42,$Q$39:$Q$48,0),4)</f>
        <v>2</v>
      </c>
      <c r="S42" s="15" t="str">
        <f>E2</f>
        <v>権</v>
      </c>
      <c r="T42" s="19" t="str">
        <f t="shared" ref="T42:AD42" si="7">IF(F13="","",F13)</f>
        <v>けん</v>
      </c>
      <c r="U42" s="19" t="str">
        <f t="shared" si="7"/>
        <v>り</v>
      </c>
      <c r="V42" s="19" t="str">
        <f t="shared" si="7"/>
        <v/>
      </c>
      <c r="W42" s="19" t="str">
        <f t="shared" si="7"/>
        <v>しゅ</v>
      </c>
      <c r="X42" s="19" t="str">
        <f t="shared" si="7"/>
        <v>ちょう</v>
      </c>
      <c r="Y42" s="19" t="str">
        <f t="shared" si="7"/>
        <v/>
      </c>
      <c r="Z42" s="19" t="str">
        <f t="shared" si="7"/>
        <v/>
      </c>
      <c r="AA42" s="19" t="str">
        <f t="shared" si="7"/>
        <v/>
      </c>
      <c r="AB42" s="19" t="str">
        <f t="shared" si="7"/>
        <v/>
      </c>
      <c r="AC42" s="19" t="str">
        <f t="shared" si="7"/>
        <v/>
      </c>
      <c r="AD42" s="19" t="str">
        <f t="shared" si="7"/>
        <v/>
      </c>
      <c r="AE42" s="19" t="str">
        <f t="shared" ref="AE42:AO42" si="8">IF(F12="","",F12)</f>
        <v>権</v>
      </c>
      <c r="AF42" s="19" t="str">
        <f t="shared" si="8"/>
        <v>利</v>
      </c>
      <c r="AG42" s="19" t="str">
        <f t="shared" si="8"/>
        <v>を</v>
      </c>
      <c r="AH42" s="19" t="str">
        <f t="shared" si="8"/>
        <v>主</v>
      </c>
      <c r="AI42" s="19" t="str">
        <f t="shared" si="8"/>
        <v>張</v>
      </c>
      <c r="AJ42" s="19" t="str">
        <f t="shared" si="8"/>
        <v>す</v>
      </c>
      <c r="AK42" s="19" t="str">
        <f t="shared" si="8"/>
        <v>る</v>
      </c>
      <c r="AL42" s="19" t="str">
        <f t="shared" si="8"/>
        <v/>
      </c>
      <c r="AM42" s="19" t="str">
        <f t="shared" si="8"/>
        <v/>
      </c>
      <c r="AN42" s="19" t="str">
        <f t="shared" si="8"/>
        <v/>
      </c>
      <c r="AO42" s="19" t="str">
        <f t="shared" si="8"/>
        <v/>
      </c>
    </row>
    <row r="43" spans="2:41" hidden="1" x14ac:dyDescent="0.2">
      <c r="F43" s="19"/>
      <c r="G43" s="19"/>
      <c r="H43" s="19"/>
      <c r="I43" s="19"/>
      <c r="J43" s="19"/>
      <c r="K43" s="19"/>
      <c r="L43" s="19"/>
      <c r="M43" s="19"/>
      <c r="N43" s="19"/>
      <c r="O43" s="19"/>
      <c r="P43" s="19"/>
      <c r="Q43" s="19">
        <f t="shared" ca="1" si="2"/>
        <v>0.95242553233422267</v>
      </c>
      <c r="R43" s="19">
        <f ca="1">IF(印刷シート!$EB$2="する",RANK(Q43,$Q$39:$Q$48,0),5)</f>
        <v>1</v>
      </c>
      <c r="S43" s="15" t="str">
        <f>F2</f>
        <v>尊</v>
      </c>
      <c r="T43" s="19" t="str">
        <f t="shared" ref="T43:AD43" si="9">IF(F15="","",F15)</f>
        <v>じ</v>
      </c>
      <c r="U43" s="19" t="str">
        <f t="shared" si="9"/>
        <v>そん</v>
      </c>
      <c r="V43" s="19" t="str">
        <f t="shared" si="9"/>
        <v>しん</v>
      </c>
      <c r="W43" s="19" t="str">
        <f t="shared" si="9"/>
        <v/>
      </c>
      <c r="X43" s="19" t="str">
        <f t="shared" si="9"/>
        <v>たか</v>
      </c>
      <c r="Y43" s="19" t="str">
        <f t="shared" si="9"/>
        <v/>
      </c>
      <c r="Z43" s="19" t="str">
        <f t="shared" si="9"/>
        <v/>
      </c>
      <c r="AA43" s="19" t="str">
        <f t="shared" si="9"/>
        <v/>
      </c>
      <c r="AB43" s="19" t="str">
        <f t="shared" si="9"/>
        <v/>
      </c>
      <c r="AC43" s="19" t="str">
        <f t="shared" si="9"/>
        <v/>
      </c>
      <c r="AD43" s="19" t="str">
        <f t="shared" si="9"/>
        <v/>
      </c>
      <c r="AE43" s="19" t="str">
        <f t="shared" ref="AE43:AO43" si="10">IF(F14="","",F14)</f>
        <v>自</v>
      </c>
      <c r="AF43" s="19" t="str">
        <f t="shared" si="10"/>
        <v>尊</v>
      </c>
      <c r="AG43" s="19" t="str">
        <f t="shared" si="10"/>
        <v>心</v>
      </c>
      <c r="AH43" s="19" t="str">
        <f t="shared" si="10"/>
        <v>を</v>
      </c>
      <c r="AI43" s="19" t="str">
        <f t="shared" si="10"/>
        <v>高</v>
      </c>
      <c r="AJ43" s="19" t="str">
        <f t="shared" si="10"/>
        <v>め</v>
      </c>
      <c r="AK43" s="19" t="str">
        <f t="shared" si="10"/>
        <v>る</v>
      </c>
      <c r="AL43" s="19" t="str">
        <f t="shared" si="10"/>
        <v/>
      </c>
      <c r="AM43" s="19" t="str">
        <f t="shared" si="10"/>
        <v/>
      </c>
      <c r="AN43" s="19" t="str">
        <f t="shared" si="10"/>
        <v/>
      </c>
      <c r="AO43" s="19" t="str">
        <f t="shared" si="10"/>
        <v/>
      </c>
    </row>
    <row r="44" spans="2:41" hidden="1" x14ac:dyDescent="0.2">
      <c r="F44" s="19"/>
      <c r="G44" s="19"/>
      <c r="H44" s="19"/>
      <c r="I44" s="19"/>
      <c r="J44" s="19"/>
      <c r="K44" s="19"/>
      <c r="L44" s="19"/>
      <c r="M44" s="19"/>
      <c r="N44" s="19"/>
      <c r="O44" s="19"/>
      <c r="P44" s="19"/>
      <c r="Q44" s="19">
        <f t="shared" ca="1" si="2"/>
        <v>0.18212729372895664</v>
      </c>
      <c r="R44" s="19">
        <f ca="1">IF(印刷シート!$EB$2="する",RANK(Q44,$Q$39:$Q$48,0),6)</f>
        <v>8</v>
      </c>
      <c r="S44" s="15" t="str">
        <f>G2</f>
        <v>庁</v>
      </c>
      <c r="T44" s="19" t="str">
        <f t="shared" ref="T44:AD44" si="11">IF(F17="","",F17)</f>
        <v>たっと</v>
      </c>
      <c r="U44" s="19" t="str">
        <f t="shared" si="11"/>
        <v/>
      </c>
      <c r="V44" s="19" t="str">
        <f t="shared" si="11"/>
        <v>おし</v>
      </c>
      <c r="W44" s="19" t="str">
        <f t="shared" si="11"/>
        <v/>
      </c>
      <c r="X44" s="19" t="str">
        <f t="shared" si="11"/>
        <v/>
      </c>
      <c r="Y44" s="19" t="str">
        <f t="shared" si="11"/>
        <v/>
      </c>
      <c r="Z44" s="19" t="str">
        <f t="shared" si="11"/>
        <v/>
      </c>
      <c r="AA44" s="19" t="str">
        <f t="shared" si="11"/>
        <v/>
      </c>
      <c r="AB44" s="19" t="str">
        <f t="shared" si="11"/>
        <v/>
      </c>
      <c r="AC44" s="19" t="str">
        <f t="shared" si="11"/>
        <v/>
      </c>
      <c r="AD44" s="19" t="str">
        <f t="shared" si="11"/>
        <v/>
      </c>
      <c r="AE44" s="19" t="str">
        <f t="shared" ref="AE44:AO44" si="12">IF(F16="","",F16)</f>
        <v>尊</v>
      </c>
      <c r="AF44" s="19" t="str">
        <f t="shared" si="12"/>
        <v>い</v>
      </c>
      <c r="AG44" s="19" t="str">
        <f t="shared" si="12"/>
        <v>教</v>
      </c>
      <c r="AH44" s="19" t="str">
        <f t="shared" si="12"/>
        <v>え</v>
      </c>
      <c r="AI44" s="19" t="str">
        <f t="shared" si="12"/>
        <v/>
      </c>
      <c r="AJ44" s="19" t="str">
        <f t="shared" si="12"/>
        <v/>
      </c>
      <c r="AK44" s="19" t="str">
        <f t="shared" si="12"/>
        <v/>
      </c>
      <c r="AL44" s="19" t="str">
        <f t="shared" si="12"/>
        <v/>
      </c>
      <c r="AM44" s="19" t="str">
        <f t="shared" si="12"/>
        <v/>
      </c>
      <c r="AN44" s="19" t="str">
        <f t="shared" si="12"/>
        <v/>
      </c>
      <c r="AO44" s="19" t="str">
        <f t="shared" si="12"/>
        <v/>
      </c>
    </row>
    <row r="45" spans="2:41" hidden="1" x14ac:dyDescent="0.2">
      <c r="F45" s="19"/>
      <c r="G45" s="19"/>
      <c r="H45" s="19"/>
      <c r="I45" s="19"/>
      <c r="J45" s="19"/>
      <c r="K45" s="19"/>
      <c r="L45" s="19"/>
      <c r="M45" s="19"/>
      <c r="N45" s="19"/>
      <c r="O45" s="19"/>
      <c r="P45" s="19"/>
      <c r="Q45" s="19">
        <f t="shared" ca="1" si="2"/>
        <v>0.73722859985985167</v>
      </c>
      <c r="R45" s="19">
        <f ca="1">IF(印刷シート!$EB$2="する",RANK(Q45,$Q$39:$Q$48,0),7)</f>
        <v>4</v>
      </c>
      <c r="S45" s="15" t="str">
        <f>H2</f>
        <v>装</v>
      </c>
      <c r="T45" s="19" t="str">
        <f t="shared" ref="T45:AD45" si="13">IF(F19="","",F19)</f>
        <v>し</v>
      </c>
      <c r="U45" s="19" t="str">
        <f t="shared" si="13"/>
        <v/>
      </c>
      <c r="V45" s="19" t="str">
        <f t="shared" si="13"/>
        <v>ちょう</v>
      </c>
      <c r="W45" s="19" t="str">
        <f t="shared" si="13"/>
        <v>しゃ</v>
      </c>
      <c r="X45" s="19" t="str">
        <f t="shared" si="13"/>
        <v/>
      </c>
      <c r="Y45" s="19" t="str">
        <f t="shared" si="13"/>
        <v/>
      </c>
      <c r="Z45" s="19" t="str">
        <f t="shared" si="13"/>
        <v/>
      </c>
      <c r="AA45" s="19" t="str">
        <f t="shared" si="13"/>
        <v/>
      </c>
      <c r="AB45" s="19" t="str">
        <f t="shared" si="13"/>
        <v/>
      </c>
      <c r="AC45" s="19" t="str">
        <f t="shared" si="13"/>
        <v/>
      </c>
      <c r="AD45" s="19" t="str">
        <f t="shared" si="13"/>
        <v/>
      </c>
      <c r="AE45" s="19" t="str">
        <f t="shared" ref="AE45:AO45" si="14">IF(F18="","",F18)</f>
        <v>市</v>
      </c>
      <c r="AF45" s="19" t="str">
        <f t="shared" si="14"/>
        <v>の</v>
      </c>
      <c r="AG45" s="19" t="str">
        <f t="shared" si="14"/>
        <v>庁</v>
      </c>
      <c r="AH45" s="19" t="str">
        <f t="shared" si="14"/>
        <v>舎</v>
      </c>
      <c r="AI45" s="19" t="str">
        <f t="shared" si="14"/>
        <v/>
      </c>
      <c r="AJ45" s="19" t="str">
        <f t="shared" si="14"/>
        <v/>
      </c>
      <c r="AK45" s="19" t="str">
        <f t="shared" si="14"/>
        <v/>
      </c>
      <c r="AL45" s="19" t="str">
        <f t="shared" si="14"/>
        <v/>
      </c>
      <c r="AM45" s="19" t="str">
        <f t="shared" si="14"/>
        <v/>
      </c>
      <c r="AN45" s="19" t="str">
        <f t="shared" si="14"/>
        <v/>
      </c>
      <c r="AO45" s="19" t="str">
        <f t="shared" si="14"/>
        <v/>
      </c>
    </row>
    <row r="46" spans="2:41" hidden="1" x14ac:dyDescent="0.2">
      <c r="F46" s="19"/>
      <c r="G46" s="19"/>
      <c r="H46" s="19"/>
      <c r="I46" s="19"/>
      <c r="J46" s="19"/>
      <c r="K46" s="19"/>
      <c r="L46" s="19"/>
      <c r="M46" s="19"/>
      <c r="N46" s="19"/>
      <c r="O46" s="19"/>
      <c r="P46" s="19"/>
      <c r="Q46" s="19">
        <f t="shared" ca="1" si="2"/>
        <v>0.40365169071206264</v>
      </c>
      <c r="R46" s="19">
        <f ca="1">IF(印刷シート!$EB$2="する",RANK(Q46,$Q$39:$Q$48,0),8)</f>
        <v>6</v>
      </c>
      <c r="S46" s="15" t="str">
        <f>I2</f>
        <v>届</v>
      </c>
      <c r="T46" s="19" t="str">
        <f t="shared" ref="T46:AD46" si="15">IF(F21="","",F21)</f>
        <v>たて</v>
      </c>
      <c r="U46" s="19" t="str">
        <f t="shared" si="15"/>
        <v>もの</v>
      </c>
      <c r="V46" s="19" t="str">
        <f t="shared" si="15"/>
        <v/>
      </c>
      <c r="W46" s="19" t="str">
        <f t="shared" si="15"/>
        <v>かい</v>
      </c>
      <c r="X46" s="19" t="str">
        <f t="shared" si="15"/>
        <v>そう</v>
      </c>
      <c r="Y46" s="19" t="str">
        <f t="shared" si="15"/>
        <v/>
      </c>
      <c r="Z46" s="19" t="str">
        <f t="shared" si="15"/>
        <v/>
      </c>
      <c r="AA46" s="19" t="str">
        <f t="shared" si="15"/>
        <v/>
      </c>
      <c r="AB46" s="19" t="str">
        <f t="shared" si="15"/>
        <v/>
      </c>
      <c r="AC46" s="19" t="str">
        <f t="shared" si="15"/>
        <v/>
      </c>
      <c r="AD46" s="19" t="str">
        <f t="shared" si="15"/>
        <v/>
      </c>
      <c r="AE46" s="19" t="str">
        <f t="shared" ref="AE46:AO46" si="16">IF(F20="","",F20)</f>
        <v>建</v>
      </c>
      <c r="AF46" s="19" t="str">
        <f t="shared" si="16"/>
        <v>物</v>
      </c>
      <c r="AG46" s="19" t="str">
        <f t="shared" si="16"/>
        <v>を</v>
      </c>
      <c r="AH46" s="19" t="str">
        <f t="shared" si="16"/>
        <v>改</v>
      </c>
      <c r="AI46" s="19" t="str">
        <f t="shared" si="16"/>
        <v>装</v>
      </c>
      <c r="AJ46" s="19" t="str">
        <f t="shared" si="16"/>
        <v>す</v>
      </c>
      <c r="AK46" s="19" t="str">
        <f t="shared" si="16"/>
        <v>る</v>
      </c>
      <c r="AL46" s="19" t="str">
        <f t="shared" si="16"/>
        <v/>
      </c>
      <c r="AM46" s="19" t="str">
        <f t="shared" si="16"/>
        <v/>
      </c>
      <c r="AN46" s="19" t="str">
        <f t="shared" si="16"/>
        <v/>
      </c>
      <c r="AO46" s="19" t="str">
        <f t="shared" si="16"/>
        <v/>
      </c>
    </row>
    <row r="47" spans="2:41" hidden="1" x14ac:dyDescent="0.2">
      <c r="F47" s="19"/>
      <c r="G47" s="19"/>
      <c r="H47" s="19"/>
      <c r="I47" s="19"/>
      <c r="J47" s="19"/>
      <c r="K47" s="19"/>
      <c r="L47" s="19"/>
      <c r="M47" s="19"/>
      <c r="N47" s="19"/>
      <c r="O47" s="19"/>
      <c r="P47" s="19"/>
      <c r="Q47" s="19">
        <f t="shared" ca="1" si="2"/>
        <v>0.35959490237126124</v>
      </c>
      <c r="R47" s="19">
        <f ca="1">IF(印刷シート!$EB$2="する",RANK(Q47,$Q$39:$Q$48,0),9)</f>
        <v>7</v>
      </c>
      <c r="S47" s="15" t="str">
        <f>J2</f>
        <v>自</v>
      </c>
      <c r="T47" s="19" t="str">
        <f t="shared" ref="T47:AD47" si="17">IF(F23="","",F23)</f>
        <v>しょ</v>
      </c>
      <c r="U47" s="19" t="str">
        <f t="shared" si="17"/>
        <v>るい</v>
      </c>
      <c r="V47" s="19" t="str">
        <f t="shared" si="17"/>
        <v/>
      </c>
      <c r="W47" s="19" t="str">
        <f t="shared" si="17"/>
        <v>とど</v>
      </c>
      <c r="X47" s="19" t="str">
        <f t="shared" si="17"/>
        <v/>
      </c>
      <c r="Y47" s="19" t="str">
        <f t="shared" si="17"/>
        <v/>
      </c>
      <c r="Z47" s="19" t="str">
        <f t="shared" si="17"/>
        <v/>
      </c>
      <c r="AA47" s="19" t="str">
        <f t="shared" si="17"/>
        <v/>
      </c>
      <c r="AB47" s="19" t="str">
        <f t="shared" si="17"/>
        <v/>
      </c>
      <c r="AC47" s="19" t="str">
        <f t="shared" si="17"/>
        <v/>
      </c>
      <c r="AD47" s="19" t="str">
        <f t="shared" si="17"/>
        <v/>
      </c>
      <c r="AE47" s="19" t="str">
        <f t="shared" ref="AE47:AO47" si="18">IF(F22="","",F22)</f>
        <v>書</v>
      </c>
      <c r="AF47" s="19" t="str">
        <f t="shared" si="18"/>
        <v>類</v>
      </c>
      <c r="AG47" s="19" t="str">
        <f t="shared" si="18"/>
        <v>を</v>
      </c>
      <c r="AH47" s="19" t="str">
        <f t="shared" si="18"/>
        <v>届</v>
      </c>
      <c r="AI47" s="19" t="str">
        <f t="shared" si="18"/>
        <v>け</v>
      </c>
      <c r="AJ47" s="19" t="str">
        <f t="shared" si="18"/>
        <v>る</v>
      </c>
      <c r="AK47" s="19" t="str">
        <f t="shared" si="18"/>
        <v/>
      </c>
      <c r="AL47" s="19" t="str">
        <f t="shared" si="18"/>
        <v/>
      </c>
      <c r="AM47" s="19" t="str">
        <f t="shared" si="18"/>
        <v/>
      </c>
      <c r="AN47" s="19" t="str">
        <f t="shared" si="18"/>
        <v/>
      </c>
      <c r="AO47" s="19" t="str">
        <f t="shared" si="18"/>
        <v/>
      </c>
    </row>
    <row r="48" spans="2:41" hidden="1" x14ac:dyDescent="0.2">
      <c r="F48" s="19"/>
      <c r="G48" s="19"/>
      <c r="H48" s="19"/>
      <c r="I48" s="19"/>
      <c r="J48" s="19"/>
      <c r="K48" s="19"/>
      <c r="L48" s="19"/>
      <c r="M48" s="19"/>
      <c r="N48" s="19"/>
      <c r="O48" s="19"/>
      <c r="P48" s="19"/>
      <c r="Q48" s="19">
        <f t="shared" ca="1" si="2"/>
        <v>0.73918951809405298</v>
      </c>
      <c r="R48" s="19">
        <f ca="1">IF(印刷シート!$EB$2="する",RANK(Q48,$Q$39:$Q$48,0),10)</f>
        <v>3</v>
      </c>
      <c r="S48" s="15" t="str">
        <f>K2</f>
        <v>心</v>
      </c>
      <c r="T48" s="19" t="str">
        <f t="shared" ref="T48:AD48" si="19">IF(F25="","",F25)</f>
        <v>しろ</v>
      </c>
      <c r="U48" s="19" t="str">
        <f t="shared" si="19"/>
        <v/>
      </c>
      <c r="V48" s="19" t="str">
        <f t="shared" si="19"/>
        <v>ほう</v>
      </c>
      <c r="W48" s="19" t="str">
        <f t="shared" si="19"/>
        <v>そう</v>
      </c>
      <c r="X48" s="19" t="str">
        <f t="shared" si="19"/>
        <v>し</v>
      </c>
      <c r="Y48" s="19" t="str">
        <f t="shared" si="19"/>
        <v/>
      </c>
      <c r="Z48" s="19" t="str">
        <f t="shared" si="19"/>
        <v/>
      </c>
      <c r="AA48" s="19" t="str">
        <f t="shared" si="19"/>
        <v/>
      </c>
      <c r="AB48" s="19" t="str">
        <f t="shared" si="19"/>
        <v/>
      </c>
      <c r="AC48" s="19" t="str">
        <f t="shared" si="19"/>
        <v/>
      </c>
      <c r="AD48" s="19" t="str">
        <f t="shared" si="19"/>
        <v/>
      </c>
      <c r="AE48" s="19" t="str">
        <f t="shared" ref="AE48:AO48" si="20">IF(F24="","",F24)</f>
        <v>白</v>
      </c>
      <c r="AF48" s="19" t="str">
        <f t="shared" si="20"/>
        <v>い</v>
      </c>
      <c r="AG48" s="19" t="str">
        <f t="shared" si="20"/>
        <v>包</v>
      </c>
      <c r="AH48" s="19" t="str">
        <f t="shared" si="20"/>
        <v>装</v>
      </c>
      <c r="AI48" s="19" t="str">
        <f t="shared" si="20"/>
        <v>紙</v>
      </c>
      <c r="AJ48" s="19" t="str">
        <f t="shared" si="20"/>
        <v/>
      </c>
      <c r="AK48" s="19" t="str">
        <f t="shared" si="20"/>
        <v/>
      </c>
      <c r="AL48" s="19" t="str">
        <f t="shared" si="20"/>
        <v/>
      </c>
      <c r="AM48" s="19" t="str">
        <f t="shared" si="20"/>
        <v/>
      </c>
      <c r="AN48" s="19" t="str">
        <f t="shared" si="20"/>
        <v/>
      </c>
      <c r="AO48" s="19" t="str">
        <f t="shared" si="20"/>
        <v/>
      </c>
    </row>
    <row r="49" hidden="1" x14ac:dyDescent="0.2"/>
    <row r="50" hidden="1" x14ac:dyDescent="0.2"/>
    <row r="51" hidden="1" x14ac:dyDescent="0.2"/>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 x14ac:dyDescent="0.2"/>
  <cols>
    <col min="3" max="8" width="1.7265625" customWidth="1"/>
    <col min="13" max="76" width="4.54296875" customWidth="1"/>
  </cols>
  <sheetData>
    <row r="1" spans="1:8" ht="63" customHeight="1" x14ac:dyDescent="0.2">
      <c r="A1" t="s">
        <v>70</v>
      </c>
      <c r="B1" t="s">
        <v>71</v>
      </c>
      <c r="C1" s="81"/>
      <c r="D1" s="82"/>
      <c r="E1" s="82"/>
      <c r="F1" s="82"/>
      <c r="G1" s="82"/>
      <c r="H1" s="83"/>
    </row>
    <row r="2" spans="1:8" ht="63" customHeight="1" x14ac:dyDescent="0.2">
      <c r="A2" t="s">
        <v>72</v>
      </c>
      <c r="B2" t="s">
        <v>73</v>
      </c>
      <c r="C2" s="81"/>
      <c r="D2" s="82"/>
      <c r="E2" s="82"/>
      <c r="F2" s="82"/>
      <c r="G2" s="82"/>
      <c r="H2" s="83"/>
    </row>
    <row r="3" spans="1:8" ht="63" customHeight="1" x14ac:dyDescent="0.2">
      <c r="A3" t="s">
        <v>74</v>
      </c>
      <c r="B3" t="s">
        <v>75</v>
      </c>
      <c r="C3" s="81"/>
      <c r="D3" s="82"/>
      <c r="E3" s="82"/>
      <c r="F3" s="82"/>
      <c r="G3" s="82"/>
      <c r="H3" s="83"/>
    </row>
    <row r="4" spans="1:8" ht="63" customHeight="1" x14ac:dyDescent="0.2">
      <c r="A4" t="s">
        <v>76</v>
      </c>
      <c r="B4" t="s">
        <v>77</v>
      </c>
      <c r="C4" s="81"/>
      <c r="D4" s="82"/>
      <c r="E4" s="82"/>
      <c r="F4" s="82"/>
      <c r="G4" s="82"/>
      <c r="H4" s="83"/>
    </row>
    <row r="5" spans="1:8" ht="63" customHeight="1" x14ac:dyDescent="0.2">
      <c r="A5" t="s">
        <v>78</v>
      </c>
      <c r="B5" t="s">
        <v>79</v>
      </c>
      <c r="C5" s="81"/>
      <c r="D5" s="82"/>
      <c r="E5" s="82"/>
      <c r="F5" s="82"/>
      <c r="G5" s="82"/>
      <c r="H5" s="83"/>
    </row>
    <row r="6" spans="1:8" ht="63" customHeight="1" x14ac:dyDescent="0.2">
      <c r="A6" t="s">
        <v>80</v>
      </c>
      <c r="B6" t="s">
        <v>81</v>
      </c>
      <c r="C6" s="81"/>
      <c r="D6" s="82"/>
      <c r="E6" s="82"/>
      <c r="F6" s="82"/>
      <c r="G6" s="82"/>
      <c r="H6" s="83"/>
    </row>
    <row r="7" spans="1:8" ht="63" customHeight="1" x14ac:dyDescent="0.2">
      <c r="A7" t="s">
        <v>82</v>
      </c>
      <c r="B7" t="s">
        <v>83</v>
      </c>
      <c r="C7" s="81"/>
      <c r="D7" s="82"/>
      <c r="E7" s="82"/>
      <c r="F7" s="82"/>
      <c r="G7" s="82"/>
      <c r="H7" s="83"/>
    </row>
    <row r="8" spans="1:8" ht="63" customHeight="1" x14ac:dyDescent="0.2"/>
    <row r="9" spans="1:8" ht="63" customHeight="1" x14ac:dyDescent="0.2"/>
    <row r="10" spans="1:8" ht="63" customHeight="1" x14ac:dyDescent="0.2"/>
    <row r="11" spans="1:8" ht="29.25" customHeight="1" x14ac:dyDescent="0.2"/>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Manager/>
  <Company>MouseComputer PC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nakao</dc:creator>
  <cp:keywords/>
  <dc:description/>
  <cp:lastModifiedBy>manager</cp:lastModifiedBy>
  <cp:revision/>
  <dcterms:created xsi:type="dcterms:W3CDTF">2011-08-04T02:55:31Z</dcterms:created>
  <dcterms:modified xsi:type="dcterms:W3CDTF">2025-03-11T05:07:19Z</dcterms:modified>
  <cp:category/>
  <cp:contentStatus/>
</cp:coreProperties>
</file>